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20700" windowHeight="6030" tabRatio="920"/>
  </bookViews>
  <sheets>
    <sheet name="CoverPg" sheetId="1" r:id="rId1"/>
    <sheet name="F" sheetId="3" r:id="rId2"/>
    <sheet name="S" sheetId="4" r:id="rId3"/>
    <sheet name="OF" sheetId="2" r:id="rId4"/>
    <sheet name="AllSitesA" sheetId="35" r:id="rId5"/>
    <sheet name="SaveVarsA" sheetId="36" state="hidden" r:id="rId6"/>
    <sheet name="Calibration Stats" sheetId="37" r:id="rId7"/>
    <sheet name="AllSitesE" sheetId="38" state="hidden" r:id="rId8"/>
    <sheet name="AllSitesEsub" sheetId="39" state="hidden" r:id="rId9"/>
    <sheet name="WS" sheetId="8" r:id="rId10"/>
    <sheet name="SFS" sheetId="31" r:id="rId11"/>
    <sheet name="WC" sheetId="12" r:id="rId12"/>
    <sheet name="SR" sheetId="9" r:id="rId13"/>
    <sheet name="PR" sheetId="10" r:id="rId14"/>
    <sheet name="NR" sheetId="11" r:id="rId15"/>
    <sheet name="OE" sheetId="14" r:id="rId16"/>
    <sheet name="INV" sheetId="15" r:id="rId17"/>
    <sheet name="FH" sheetId="17" r:id="rId18"/>
    <sheet name="AM" sheetId="18" r:id="rId19"/>
    <sheet name="WB" sheetId="20" r:id="rId20"/>
    <sheet name="SBRM" sheetId="21" r:id="rId21"/>
    <sheet name="PH" sheetId="23" r:id="rId22"/>
    <sheet name="FIRE" sheetId="46" r:id="rId23"/>
    <sheet name="HU" sheetId="27" r:id="rId24"/>
    <sheet name="Scores" sheetId="5" r:id="rId25"/>
    <sheet name="RarePlants" sheetId="43" r:id="rId26"/>
    <sheet name="RareAnimals" sheetId="44" r:id="rId27"/>
  </sheets>
  <externalReferences>
    <externalReference r:id="rId28"/>
    <externalReference r:id="rId29"/>
  </externalReferences>
  <definedNames>
    <definedName name="__IBA12" localSheetId="22">#REF!</definedName>
    <definedName name="__IBA12">#REF!</definedName>
    <definedName name="__WBF5" localSheetId="22">#REF!</definedName>
    <definedName name="__WBF5">#REF!</definedName>
    <definedName name="_Bog6">OE!$D$7</definedName>
    <definedName name="_GDD1">WS!$G$7</definedName>
    <definedName name="_GDD10" localSheetId="22">FH!#REF!</definedName>
    <definedName name="_GDD10">FH!#REF!</definedName>
    <definedName name="_GDD11" localSheetId="22">AM!#REF!</definedName>
    <definedName name="_GDD11">AM!#REF!</definedName>
    <definedName name="_GDD12" localSheetId="22">#REF!</definedName>
    <definedName name="_GDD12">#REF!</definedName>
    <definedName name="_GDD13" localSheetId="22">FIRE!#REF!</definedName>
    <definedName name="_GDD13">WB!#REF!</definedName>
    <definedName name="_GDD14" localSheetId="22">SBRM!#REF!</definedName>
    <definedName name="_GDD14">SBRM!#REF!</definedName>
    <definedName name="_GDD2" localSheetId="22">SR!#REF!</definedName>
    <definedName name="_GDD2">SR!#REF!</definedName>
    <definedName name="_GDD3" localSheetId="22">PR!#REF!</definedName>
    <definedName name="_GDD3">PR!#REF!</definedName>
    <definedName name="_GpA1" localSheetId="22">WS!#REF!</definedName>
    <definedName name="_GpA1">WS!#REF!</definedName>
    <definedName name="_Ice11" localSheetId="22">AM!#REF!</definedName>
    <definedName name="_Ice11">AM!#REF!</definedName>
    <definedName name="_Ice12" localSheetId="22">#REF!</definedName>
    <definedName name="_Ice12">#REF!</definedName>
    <definedName name="_Iso2">SR!$G$34</definedName>
    <definedName name="_Nup4" localSheetId="22">NR!#REF!</definedName>
    <definedName name="_Nup4">NR!#REF!</definedName>
    <definedName name="_OMX5" localSheetId="22">OE!#REF!</definedName>
    <definedName name="_OMX5">OE!#REF!</definedName>
    <definedName name="_Out3" localSheetId="22">PR!#REF!</definedName>
    <definedName name="_Out3">PR!#REF!</definedName>
    <definedName name="_Pt2" localSheetId="22">S!#REF!</definedName>
    <definedName name="_Pt2">S!#REF!</definedName>
    <definedName name="_Pt3" localSheetId="22">S!#REF!</definedName>
    <definedName name="_Pt3">S!#REF!</definedName>
    <definedName name="_pt4" localSheetId="22">S!#REF!</definedName>
    <definedName name="_pt4">S!#REF!</definedName>
    <definedName name="AbioSens" localSheetId="22">#REF!</definedName>
    <definedName name="AbioSens">#REF!</definedName>
    <definedName name="ABpct12" localSheetId="22">#REF!</definedName>
    <definedName name="ABpct12" localSheetId="2">[1]WBF!$G$72</definedName>
    <definedName name="ABpct9" localSheetId="22">#REF!</definedName>
    <definedName name="ABpct9">#REF!</definedName>
    <definedName name="Access10" localSheetId="22">FH!#REF!</definedName>
    <definedName name="Access10" localSheetId="2">[1]FR!#REF!</definedName>
    <definedName name="Access11" localSheetId="22">AM!#REF!</definedName>
    <definedName name="Access11" localSheetId="2">[1]AM!$D$4</definedName>
    <definedName name="Access12" localSheetId="22">#REF!</definedName>
    <definedName name="Access12">#REF!</definedName>
    <definedName name="Access1a">HU!$G$68</definedName>
    <definedName name="Access1b" localSheetId="22">HU!#REF!</definedName>
    <definedName name="Access1b">HU!#REF!</definedName>
    <definedName name="Access8" localSheetId="22">INV!#REF!</definedName>
    <definedName name="Access8" localSheetId="2">[1]INV!$G$115</definedName>
    <definedName name="Access9" localSheetId="22">#REF!</definedName>
    <definedName name="Access9" localSheetId="2">[1]FA!#REF!</definedName>
    <definedName name="AccessFR10" localSheetId="22">FH!#REF!</definedName>
    <definedName name="AccessFR10" localSheetId="2">[1]FR!$D$96</definedName>
    <definedName name="Acidic13" localSheetId="22">FIRE!#REF!</definedName>
    <definedName name="Acidic13">WB!$G$116</definedName>
    <definedName name="AcidicPool10">FH!$G$68</definedName>
    <definedName name="AcidPool10">FH!$D$68</definedName>
    <definedName name="AcidPool7" localSheetId="22">#REF!</definedName>
    <definedName name="AcidPool7">#REF!</definedName>
    <definedName name="ADSORB1A">PR!$G$111</definedName>
    <definedName name="ADSORB1B">PR!#REF!</definedName>
    <definedName name="Adsorb3" localSheetId="22">PR!#REF!</definedName>
    <definedName name="Adsorb3">PR!#REF!</definedName>
    <definedName name="AfishAccess9" localSheetId="22">#REF!</definedName>
    <definedName name="AfishAccess9" localSheetId="2">[1]FA!$D$7</definedName>
    <definedName name="AfishShed" localSheetId="22">#REF!</definedName>
    <definedName name="AfishShed" localSheetId="2">#REF!</definedName>
    <definedName name="AfishShed9" localSheetId="22">#REF!</definedName>
    <definedName name="AfishShed9" localSheetId="2">[1]FA!$D$6</definedName>
    <definedName name="AFshed" localSheetId="22">#REF!</definedName>
    <definedName name="AFshed" localSheetId="2">#REF!</definedName>
    <definedName name="agland0" localSheetId="22">#REF!</definedName>
    <definedName name="agland0" localSheetId="2">[1]POL!$G$107</definedName>
    <definedName name="aglandprox" localSheetId="22">#REF!</definedName>
    <definedName name="aglandprox" localSheetId="2">[1]POL!$G$113</definedName>
    <definedName name="Algae" localSheetId="22">#REF!</definedName>
    <definedName name="Algae">#REF!</definedName>
    <definedName name="Algae12" localSheetId="22">#REF!</definedName>
    <definedName name="Algae12">#REF!</definedName>
    <definedName name="Algae21">HU!$G$19</definedName>
    <definedName name="Algae3">PR!$G$75</definedName>
    <definedName name="AlkPlaya" localSheetId="22">#REF!</definedName>
    <definedName name="AlkPlaya" localSheetId="2">#REF!</definedName>
    <definedName name="AllDry10" localSheetId="22">FH!#REF!</definedName>
    <definedName name="AllDry10" localSheetId="2">[1]FR!#REF!</definedName>
    <definedName name="AllDry11" localSheetId="2">[1]AM!$D$5</definedName>
    <definedName name="AllDry12" localSheetId="22">#REF!</definedName>
    <definedName name="AllDry12" localSheetId="2">[1]WBF!$D$23</definedName>
    <definedName name="AllDry13" localSheetId="22">FIRE!#REF!</definedName>
    <definedName name="AllDry13" localSheetId="2">[1]WBN!#REF!</definedName>
    <definedName name="AllDry2" localSheetId="22">SR!#REF!</definedName>
    <definedName name="AllDry2" localSheetId="2">[1]SR!$D$9</definedName>
    <definedName name="AllDry5" localSheetId="22">#REF!</definedName>
    <definedName name="AllDry5" localSheetId="2">[1]CS!#REF!</definedName>
    <definedName name="AllDry5a" localSheetId="22">#REF!</definedName>
    <definedName name="AllDry5a">#REF!</definedName>
    <definedName name="AllDry6" localSheetId="22">OE!#REF!</definedName>
    <definedName name="AllDry6" localSheetId="2">[1]OE!#REF!</definedName>
    <definedName name="AllDry6a" localSheetId="22">OE!#REF!</definedName>
    <definedName name="AllDry6a" localSheetId="2">[1]OE!$D$21</definedName>
    <definedName name="Alldry7" localSheetId="22">WC!#REF!</definedName>
    <definedName name="Alldry7" localSheetId="2">[1]T!$D$5</definedName>
    <definedName name="AllDry7a" localSheetId="22">WC!#REF!</definedName>
    <definedName name="AllDry7a">WC!#REF!</definedName>
    <definedName name="AllDry8" localSheetId="22">INV!#REF!</definedName>
    <definedName name="AllDry8" localSheetId="2">[1]INV!$D$15</definedName>
    <definedName name="AllDry8a" localSheetId="22">INV!#REF!</definedName>
    <definedName name="AllDry8a">INV!#REF!</definedName>
    <definedName name="AllDry9" localSheetId="22">#REF!</definedName>
    <definedName name="AllDry9" localSheetId="2">[1]FA!$D$20</definedName>
    <definedName name="AllFlowDry" localSheetId="22">F!#REF!</definedName>
    <definedName name="AllFlowDry">F!#REF!</definedName>
    <definedName name="AllFlowing" localSheetId="22">F!#REF!</definedName>
    <definedName name="AllFlowing">F!#REF!</definedName>
    <definedName name="AllFlowingDry" localSheetId="22">F!#REF!</definedName>
    <definedName name="AllFlowingDry">F!#REF!</definedName>
    <definedName name="AllFlowingWet" localSheetId="22">F!#REF!</definedName>
    <definedName name="AllFlowingWet">F!#REF!</definedName>
    <definedName name="AllForbCov">F!$D$100</definedName>
    <definedName name="AllHerbCov">F!$D$94</definedName>
    <definedName name="AllMoss">F!$D$62</definedName>
    <definedName name="AllNat">F!$D$253</definedName>
    <definedName name="AllOpenPond">F!$D$179</definedName>
    <definedName name="AllSat" localSheetId="22">F!#REF!</definedName>
    <definedName name="AllSat">F!#REF!</definedName>
    <definedName name="AllSat1">F!$D$126</definedName>
    <definedName name="AllSat2">F!$D$125</definedName>
    <definedName name="AllWater14" localSheetId="22">SBRM!#REF!</definedName>
    <definedName name="AllWater14">SBRM!#REF!</definedName>
    <definedName name="AllWet">F!$D$133</definedName>
    <definedName name="AllWoody1">WS!$G$20</definedName>
    <definedName name="AltTime10">FH!$G$112</definedName>
    <definedName name="AltTime11" localSheetId="22">AM!#REF!</definedName>
    <definedName name="AltTime11">AM!#REF!</definedName>
    <definedName name="AltTime20">PH!$G$174</definedName>
    <definedName name="AltTime8">INV!$G$149</definedName>
    <definedName name="AltTime9" localSheetId="22">#REF!</definedName>
    <definedName name="AltTime9">#REF!</definedName>
    <definedName name="AltTiming" localSheetId="22">#REF!</definedName>
    <definedName name="AltTiming" localSheetId="2">[1]STR!$G$4</definedName>
    <definedName name="AltTimingIN" localSheetId="22">#REF!</definedName>
    <definedName name="AltTimingIN">#REF!</definedName>
    <definedName name="AltTimingOut" localSheetId="22">#REF!</definedName>
    <definedName name="AltTimingOut" localSheetId="2">[1]STR!$G$5</definedName>
    <definedName name="Amphib" localSheetId="22">INV!#REF!</definedName>
    <definedName name="Amphib" localSheetId="2">[1]INV!$G$161</definedName>
    <definedName name="AmphibScore" localSheetId="22">AM!#REF!</definedName>
    <definedName name="AmphibScore">AM!#REF!</definedName>
    <definedName name="AmphibScore8" localSheetId="22">INV!#REF!</definedName>
    <definedName name="AmphibScore8">INV!#REF!</definedName>
    <definedName name="AmphScore" localSheetId="22">#REF!</definedName>
    <definedName name="AmphScore">#REF!</definedName>
    <definedName name="AmPres11" localSheetId="22">AM!#REF!</definedName>
    <definedName name="AmPres11">AM!#REF!</definedName>
    <definedName name="AmpSiteS" localSheetId="22">#REF!</definedName>
    <definedName name="AmpSiteS">#REF!</definedName>
    <definedName name="Anad3" localSheetId="22">PR!#REF!</definedName>
    <definedName name="Anad3">PR!#REF!</definedName>
    <definedName name="Anad4" localSheetId="22">NR!#REF!</definedName>
    <definedName name="Anad4">NR!#REF!</definedName>
    <definedName name="AnadFish" localSheetId="22">INV!#REF!</definedName>
    <definedName name="AnadFish" localSheetId="2">[1]INV!$G$159</definedName>
    <definedName name="AnadFish7" localSheetId="22">WC!#REF!</definedName>
    <definedName name="AnadFish7">WC!#REF!</definedName>
    <definedName name="AnadHUC7" localSheetId="22">WC!#REF!</definedName>
    <definedName name="AnadHUC7" localSheetId="2">[1]T!$G$37</definedName>
    <definedName name="AnadPrio7" localSheetId="22">WC!#REF!</definedName>
    <definedName name="AnadPrio7" localSheetId="2">[1]T!#REF!</definedName>
    <definedName name="AnadPrioShed" localSheetId="22">#REF!</definedName>
    <definedName name="AnadPrioShed" localSheetId="2">[1]FA!$G$123</definedName>
    <definedName name="AnadScore2_" localSheetId="22">SFS!#REF!</definedName>
    <definedName name="AnadScore2_">SFS!#REF!</definedName>
    <definedName name="AnimSens_S" localSheetId="22">#REF!</definedName>
    <definedName name="AnimSens_S" localSheetId="2">[1]Sen!#REF!</definedName>
    <definedName name="AnnCropCA" localSheetId="22">OF!#REF!</definedName>
    <definedName name="AnnCropCA">OF!#REF!</definedName>
    <definedName name="AnoxF1a">FH!$G$125</definedName>
    <definedName name="AnoxF1b">FH!#REF!</definedName>
    <definedName name="AnoxRisk10" localSheetId="22">FH!#REF!</definedName>
    <definedName name="AnoxRisk10">FH!#REF!</definedName>
    <definedName name="AqCov8">INV!$G$106</definedName>
    <definedName name="AqFertilPD" localSheetId="22">PH!#REF!</definedName>
    <definedName name="AqFertilPD">PH!#REF!</definedName>
    <definedName name="AqPest8" localSheetId="22">INV!#REF!</definedName>
    <definedName name="AqPest8" localSheetId="2">[1]INV!$G$76</definedName>
    <definedName name="AqPlantCov9" localSheetId="22">#REF!</definedName>
    <definedName name="AqPlantCov9">#REF!</definedName>
    <definedName name="AqStruc11" localSheetId="22">AM!#REF!</definedName>
    <definedName name="AqStruc11">AM!#REF!</definedName>
    <definedName name="Aquif1" localSheetId="22">WS!#REF!</definedName>
    <definedName name="Aquif1" localSheetId="2">[1]WS!#REF!</definedName>
    <definedName name="Aquifer" localSheetId="22">WS!#REF!</definedName>
    <definedName name="Aquifer" localSheetId="2">[1]WS!#REF!</definedName>
    <definedName name="Aquifer4" localSheetId="22">NR!#REF!</definedName>
    <definedName name="Aquifer4" localSheetId="2">[1]NR!$G$151</definedName>
    <definedName name="AquifVul" localSheetId="22">OF!#REF!</definedName>
    <definedName name="AquifVul">OF!#REF!</definedName>
    <definedName name="AqVul">OF!#REF!</definedName>
    <definedName name="Aspect">OF!$E$2</definedName>
    <definedName name="aspect0" localSheetId="22">#REF!</definedName>
    <definedName name="aspect0">#REF!</definedName>
    <definedName name="Aspect1" localSheetId="22">WS!#REF!</definedName>
    <definedName name="Aspect1">WS!#REF!</definedName>
    <definedName name="Aspect11" localSheetId="22">AM!#REF!</definedName>
    <definedName name="Aspect11">AM!#REF!</definedName>
    <definedName name="Aspect2_" localSheetId="22">SFS!#REF!</definedName>
    <definedName name="Aspect2_">SFS!#REF!</definedName>
    <definedName name="Aspect4" localSheetId="22">NR!#REF!</definedName>
    <definedName name="Aspect4">NR!#REF!</definedName>
    <definedName name="Aspect7" localSheetId="22">WC!#REF!</definedName>
    <definedName name="Aspect7">WC!#REF!</definedName>
    <definedName name="Aspect7v" localSheetId="22">WC!#REF!</definedName>
    <definedName name="Aspect7v">WC!#REF!</definedName>
    <definedName name="Aspect7vw" localSheetId="22">#REF!</definedName>
    <definedName name="Aspect7vw">#REF!</definedName>
    <definedName name="Aspect7w" localSheetId="22">#REF!</definedName>
    <definedName name="Aspect7w">#REF!</definedName>
    <definedName name="AspectCA" localSheetId="22">OF!#REF!</definedName>
    <definedName name="AspectCA">OF!#REF!</definedName>
    <definedName name="AspectPD" localSheetId="22">PH!#REF!</definedName>
    <definedName name="AspectPD">PH!#REF!</definedName>
    <definedName name="BareGpct" localSheetId="22">#REF!</definedName>
    <definedName name="BareGpct">#REF!</definedName>
    <definedName name="BearHab9" localSheetId="22">#REF!</definedName>
    <definedName name="BearHab9">#REF!</definedName>
    <definedName name="BearPD" localSheetId="22">PH!#REF!</definedName>
    <definedName name="BearPD">PH!#REF!</definedName>
    <definedName name="BearShed" localSheetId="22">#REF!</definedName>
    <definedName name="BearShed">#REF!</definedName>
    <definedName name="BearShed14" localSheetId="22">SBRM!#REF!</definedName>
    <definedName name="BearShed14">SBRM!#REF!</definedName>
    <definedName name="BearShed9" localSheetId="22">#REF!</definedName>
    <definedName name="BearShed9">#REF!</definedName>
    <definedName name="Beaver_S" localSheetId="22">#REF!</definedName>
    <definedName name="Beaver_S">#REF!</definedName>
    <definedName name="Beaver10">FH!$G$79</definedName>
    <definedName name="Beaver11">AM!$G$96</definedName>
    <definedName name="Beaver12" localSheetId="22">#REF!</definedName>
    <definedName name="Beaver12">#REF!</definedName>
    <definedName name="Beaver13" localSheetId="22">FIRE!#REF!</definedName>
    <definedName name="Beaver13">WB!$G$121</definedName>
    <definedName name="Beaver14">SBRM!$D$117</definedName>
    <definedName name="Beaver14a">SBRM!$G$117</definedName>
    <definedName name="Beaver8">INV!$G$121</definedName>
    <definedName name="Beaver9" localSheetId="22">#REF!</definedName>
    <definedName name="Beaver9">#REF!</definedName>
    <definedName name="BeaverPD">PH!$G$133</definedName>
    <definedName name="BestInScape" localSheetId="22">#REF!</definedName>
    <definedName name="BestInScape" localSheetId="2">#REF!</definedName>
    <definedName name="BestInShed" localSheetId="22">#REF!</definedName>
    <definedName name="BestInShed" localSheetId="2">#REF!</definedName>
    <definedName name="BigPondProx12" localSheetId="22">#REF!</definedName>
    <definedName name="BigPondProx12" localSheetId="2">[1]WBF!$G$137</definedName>
    <definedName name="BioDivZone">OF!$E$3</definedName>
    <definedName name="Biological" localSheetId="22">#REF!</definedName>
    <definedName name="Biological">#REF!</definedName>
    <definedName name="BioSens" localSheetId="22">#REF!</definedName>
    <definedName name="BioSens">#REF!</definedName>
    <definedName name="Bioshed14" localSheetId="22">SBRM!#REF!</definedName>
    <definedName name="Bioshed14">SBRM!#REF!</definedName>
    <definedName name="BioShedX" localSheetId="22">#REF!</definedName>
    <definedName name="BioShedX">#REF!</definedName>
    <definedName name="BioZone14" localSheetId="22">SBRM!#REF!</definedName>
    <definedName name="BioZone14">SBRM!#REF!</definedName>
    <definedName name="BMP_11">AM!$G$127</definedName>
    <definedName name="BMP_13" localSheetId="22">FIRE!#REF!</definedName>
    <definedName name="BMP_13">WB!$G$148</definedName>
    <definedName name="BMP_14">SBRM!$G$143</definedName>
    <definedName name="BMPs1a" localSheetId="22">HU!#REF!</definedName>
    <definedName name="BMPs1a">HU!#REF!</definedName>
    <definedName name="BMPs1b" localSheetId="22">HU!#REF!</definedName>
    <definedName name="BMPs1b">HU!#REF!</definedName>
    <definedName name="BMPsoils20">PH!$G$171</definedName>
    <definedName name="BMPsoilsPU">HU!$G$46</definedName>
    <definedName name="BMPwildPU">HU!$G$47</definedName>
    <definedName name="BoatsPD" localSheetId="22">PH!#REF!</definedName>
    <definedName name="BoatsPD" localSheetId="2">[1]PD!$G$114</definedName>
    <definedName name="BoatVector" localSheetId="22">#REF!</definedName>
    <definedName name="BoatVector" localSheetId="2">[1]STR!$G$19</definedName>
    <definedName name="Bog" localSheetId="22">#REF!</definedName>
    <definedName name="Bog" localSheetId="2">#REF!</definedName>
    <definedName name="Bog_S" localSheetId="22">#REF!</definedName>
    <definedName name="Bog_S" localSheetId="2">[1]Sen!$D$3</definedName>
    <definedName name="BogPct5K" localSheetId="22">OF!#REF!</definedName>
    <definedName name="BogPct5K">OF!#REF!</definedName>
    <definedName name="BogW" localSheetId="22">#REF!</definedName>
    <definedName name="BogW" localSheetId="2">#REF!</definedName>
    <definedName name="Browsed14" localSheetId="22">SBRM!#REF!</definedName>
    <definedName name="Browsed14">SBRM!#REF!</definedName>
    <definedName name="BrowsedS" localSheetId="22">#REF!</definedName>
    <definedName name="BrowsedS">#REF!</definedName>
    <definedName name="BuffAllNat">F!$D$257</definedName>
    <definedName name="BuffCovTyp4" localSheetId="22">NR!#REF!</definedName>
    <definedName name="BuffCovTyp4">NR!#REF!</definedName>
    <definedName name="BuffCUnatPct9" localSheetId="22">#REF!</definedName>
    <definedName name="BuffCUnatPct9" localSheetId="2">[1]FA!#REF!</definedName>
    <definedName name="BuffDisturbTyp" localSheetId="22">#REF!</definedName>
    <definedName name="BuffDisturbTyp" localSheetId="2">[1]STR!$G$46</definedName>
    <definedName name="BufferWeeds" localSheetId="22">#REF!</definedName>
    <definedName name="BufferWeeds" localSheetId="2">#REF!</definedName>
    <definedName name="BuffLU10" localSheetId="22">FH!#REF!</definedName>
    <definedName name="BuffLU10" localSheetId="2">[1]FR!#REF!</definedName>
    <definedName name="BuffLU11" localSheetId="22">AM!#REF!</definedName>
    <definedName name="BuffLU11" localSheetId="2">[1]AM!$G$158</definedName>
    <definedName name="BuffLU14" localSheetId="22">SBRM!#REF!</definedName>
    <definedName name="BuffLU14" localSheetId="2">[1]SBM!#REF!</definedName>
    <definedName name="BuffLU8" localSheetId="22">INV!#REF!</definedName>
    <definedName name="BuffLU8" localSheetId="2">[1]INV!#REF!</definedName>
    <definedName name="BuffLU9" localSheetId="22">#REF!</definedName>
    <definedName name="BuffLU9" localSheetId="2">[1]FA!$G$99</definedName>
    <definedName name="BuffLUpd" localSheetId="2">[1]PD!$G$141</definedName>
    <definedName name="BuffLUpd">PH!$G$148</definedName>
    <definedName name="BuffLUtype13" localSheetId="22">FIRE!#REF!</definedName>
    <definedName name="BuffLUtype13" localSheetId="2">[1]WBN!$G$134</definedName>
    <definedName name="BuffNatPct11">AM!$G$109</definedName>
    <definedName name="BuffNatPct13" localSheetId="22">FIRE!#REF!</definedName>
    <definedName name="BuffNatPct13" localSheetId="2">[1]WBN!$G$128</definedName>
    <definedName name="BuffNatPct13">WB!$G$130</definedName>
    <definedName name="BuffNatPct8">INV!$G$135</definedName>
    <definedName name="BuffPctCU10" localSheetId="22">FH!#REF!</definedName>
    <definedName name="BuffPctCU10" localSheetId="2">[1]FR!#REF!</definedName>
    <definedName name="BuffPctNat9" localSheetId="22">#REF!</definedName>
    <definedName name="BuffPctNat9">#REF!</definedName>
    <definedName name="BuffSlope_S" localSheetId="22">#REF!</definedName>
    <definedName name="BuffSlope_S" localSheetId="2">[1]Sen!$G$122</definedName>
    <definedName name="BuffSlope2" localSheetId="22">SR!#REF!</definedName>
    <definedName name="BuffSlope2">SR!#REF!</definedName>
    <definedName name="BuffSlope3" localSheetId="22">PR!#REF!</definedName>
    <definedName name="BuffSlope3">PR!#REF!</definedName>
    <definedName name="BuffSlope4" localSheetId="22">NR!#REF!</definedName>
    <definedName name="BuffSlope4">NR!#REF!</definedName>
    <definedName name="BuffVdens" localSheetId="22">#REF!</definedName>
    <definedName name="BuffVdens" localSheetId="2">[1]STR!#REF!</definedName>
    <definedName name="BuffVeg2" localSheetId="22">SR!#REF!</definedName>
    <definedName name="BuffVeg2" localSheetId="2">[1]SR!#REF!</definedName>
    <definedName name="BuffVpct3" localSheetId="22">PR!#REF!</definedName>
    <definedName name="BuffVpct3" localSheetId="2">[1]PR!#REF!</definedName>
    <definedName name="BuffVpct4" localSheetId="22">NR!#REF!</definedName>
    <definedName name="BuffVpct4" localSheetId="2">[1]NR!#REF!</definedName>
    <definedName name="Burn1">WS!$G$95</definedName>
    <definedName name="Burn10">FH!$G$105</definedName>
    <definedName name="Burn15">FIRE!$G$13</definedName>
    <definedName name="Burn2">SR!$G$85</definedName>
    <definedName name="Burn6">OE!$G$116</definedName>
    <definedName name="Burn8">INV!$G$144</definedName>
    <definedName name="CAimperv" localSheetId="22">#REF!</definedName>
    <definedName name="CAimperv">#REF!</definedName>
    <definedName name="calcarPD" localSheetId="22">PH!#REF!</definedName>
    <definedName name="calcarPD" localSheetId="2">[1]PD!#REF!</definedName>
    <definedName name="Calcium3" localSheetId="22">PR!#REF!</definedName>
    <definedName name="Calcium3" localSheetId="2">[1]PR!#REF!</definedName>
    <definedName name="Calcium5" localSheetId="22">#REF!</definedName>
    <definedName name="Calcium5" localSheetId="2">[1]CS!#REF!</definedName>
    <definedName name="CAnatPct2" localSheetId="22">SR!#REF!</definedName>
    <definedName name="CAnatPct2" localSheetId="2">[1]SR!$G$154</definedName>
    <definedName name="CAnatPct4" localSheetId="22">NR!#REF!</definedName>
    <definedName name="CAnatPct4" localSheetId="2">[1]NR!$G$155</definedName>
    <definedName name="CApct1" localSheetId="22">WS!#REF!</definedName>
    <definedName name="CApct1" localSheetId="2">[1]WS!$G$79</definedName>
    <definedName name="CApct2" localSheetId="22">SR!#REF!</definedName>
    <definedName name="CApct2" localSheetId="2">[1]SR!$G$85</definedName>
    <definedName name="CApct2F" localSheetId="22">SR!#REF!</definedName>
    <definedName name="CApct2F" localSheetId="2">[1]SR!$G$75</definedName>
    <definedName name="CApct3" localSheetId="22">PR!#REF!</definedName>
    <definedName name="CApct3" localSheetId="2">[1]PR!$G$111</definedName>
    <definedName name="CApct4" localSheetId="22">NR!#REF!</definedName>
    <definedName name="CApct4" localSheetId="2">[1]NR!$G$111</definedName>
    <definedName name="CApctB3">PR!#REF!</definedName>
    <definedName name="CARB1A">NR!$G$139</definedName>
    <definedName name="CARB1B">NR!#REF!</definedName>
    <definedName name="CarbShed" localSheetId="22">OE!#REF!</definedName>
    <definedName name="CarbShed">OE!#REF!</definedName>
    <definedName name="CaribouFound">OF!$E$54</definedName>
    <definedName name="CaribouRange">OF!$E$53</definedName>
    <definedName name="CAunveg1" localSheetId="22">WS!#REF!</definedName>
    <definedName name="CAunveg1" localSheetId="2">[1]WS!$G$84</definedName>
    <definedName name="Cedar14" localSheetId="22">SBRM!#REF!</definedName>
    <definedName name="Cedar14">SBRM!#REF!</definedName>
    <definedName name="CedarPD" localSheetId="22">PH!#REF!</definedName>
    <definedName name="CedarPD">PH!#REF!</definedName>
    <definedName name="CfixA1a">AM!$G$136</definedName>
    <definedName name="CfixA1b" localSheetId="22">AM!#REF!</definedName>
    <definedName name="CfixA1b">AM!#REF!</definedName>
    <definedName name="CfixF1a">FH!$G$116</definedName>
    <definedName name="CfixF1b" localSheetId="22">FH!#REF!</definedName>
    <definedName name="CfixF1b">FH!#REF!</definedName>
    <definedName name="CfixI1a">INV!$G$161</definedName>
    <definedName name="CfixI1b" localSheetId="22">INV!#REF!</definedName>
    <definedName name="CfixI1b">INV!#REF!</definedName>
    <definedName name="CfixS1a">SBRM!$G$152</definedName>
    <definedName name="CfixS1b">SBRM!#REF!</definedName>
    <definedName name="CfixV1a">PH!$G$182</definedName>
    <definedName name="CfixV1b" localSheetId="22">PH!#REF!</definedName>
    <definedName name="CfixV1b">PH!#REF!</definedName>
    <definedName name="CfixW1a" localSheetId="22">FIRE!#REF!</definedName>
    <definedName name="CfixW1a">WB!$G$161</definedName>
    <definedName name="CfixW1b" localSheetId="22">FIRE!#REF!</definedName>
    <definedName name="CfixW1b">WB!#REF!</definedName>
    <definedName name="ChannConn">OF!$E$4</definedName>
    <definedName name="Class" localSheetId="22">#REF!</definedName>
    <definedName name="Class" localSheetId="2">#REF!</definedName>
    <definedName name="ClassRich1k">OF!$E$5</definedName>
    <definedName name="ClassRich5k" localSheetId="22">OF!#REF!</definedName>
    <definedName name="ClassRich5k">OF!#REF!</definedName>
    <definedName name="ClassRichIn">OF!$E$6</definedName>
    <definedName name="ClassRichIn14">SBRM!$G$30</definedName>
    <definedName name="ClassRichIn15">PH!$G$15</definedName>
    <definedName name="ClassRichIn16">#REF!</definedName>
    <definedName name="ClassRichIn8">INV!$G$18</definedName>
    <definedName name="cliff0" localSheetId="22">#REF!</definedName>
    <definedName name="cliff0" localSheetId="2">[1]POL!$G$76</definedName>
    <definedName name="Cliff14">SBRM!$D$130</definedName>
    <definedName name="Cliffs14" localSheetId="2">[1]SBM!$G$78</definedName>
    <definedName name="Cliffs14">SBRM!$G$130</definedName>
    <definedName name="Climate11" localSheetId="22">AM!#REF!</definedName>
    <definedName name="Climate11">AM!#REF!</definedName>
    <definedName name="Climate12" localSheetId="22">#REF!</definedName>
    <definedName name="Climate12">#REF!</definedName>
    <definedName name="ClimateLF" localSheetId="22">SFS!#REF!</definedName>
    <definedName name="ClimateLF">SFS!#REF!</definedName>
    <definedName name="ClimatePD" localSheetId="22">PH!#REF!</definedName>
    <definedName name="ClimatePD">PH!#REF!</definedName>
    <definedName name="ClimateS" localSheetId="22">#REF!</definedName>
    <definedName name="ClimateS">#REF!</definedName>
    <definedName name="Colonizer" localSheetId="22">#REF!</definedName>
    <definedName name="Colonizer">#REF!</definedName>
    <definedName name="CompetPD" localSheetId="22">PH!#REF!</definedName>
    <definedName name="CompetPD">PH!#REF!</definedName>
    <definedName name="Conduc10">FH!$G$73</definedName>
    <definedName name="Conduc8">INV!$G$115</definedName>
    <definedName name="Connec3" localSheetId="22">PR!#REF!</definedName>
    <definedName name="Connec3">PR!#REF!</definedName>
    <definedName name="Connec4" localSheetId="22">NR!#REF!</definedName>
    <definedName name="Connec4">NR!#REF!</definedName>
    <definedName name="Connec8" localSheetId="22">INV!#REF!</definedName>
    <definedName name="Connec8">INV!#REF!</definedName>
    <definedName name="ConnecDn2" localSheetId="22">SR!#REF!</definedName>
    <definedName name="ConnecDn2">SR!#REF!</definedName>
    <definedName name="ConnecDn3" localSheetId="22">PR!#REF!</definedName>
    <definedName name="ConnecDn3">PR!#REF!</definedName>
    <definedName name="ConnecDn4" localSheetId="22">NR!#REF!</definedName>
    <definedName name="ConnecDn4">NR!#REF!</definedName>
    <definedName name="Connectiv2" localSheetId="22">SR!#REF!</definedName>
    <definedName name="Connectiv2">SR!#REF!</definedName>
    <definedName name="ConnectivLF" localSheetId="22">SFS!#REF!</definedName>
    <definedName name="ConnectivLF">SFS!#REF!</definedName>
    <definedName name="ConnecUp10" localSheetId="22">FH!#REF!</definedName>
    <definedName name="ConnecUp10">FH!#REF!</definedName>
    <definedName name="ConnecUp11" localSheetId="22">AM!#REF!</definedName>
    <definedName name="ConnecUp11">AM!#REF!</definedName>
    <definedName name="ConnecUp13" localSheetId="22">FIRE!#REF!</definedName>
    <definedName name="ConnecUp13">WB!#REF!</definedName>
    <definedName name="ConnecUp2" localSheetId="22">SR!#REF!</definedName>
    <definedName name="ConnecUp2">SR!#REF!</definedName>
    <definedName name="ConnecUp3" localSheetId="22">PR!#REF!</definedName>
    <definedName name="ConnecUp3">PR!#REF!</definedName>
    <definedName name="ConnecUp4" localSheetId="22">NR!#REF!</definedName>
    <definedName name="ConnecUp4">NR!#REF!</definedName>
    <definedName name="ConnLocalW" localSheetId="22">SBRM!#REF!</definedName>
    <definedName name="ConnLocalW">SBRM!#REF!</definedName>
    <definedName name="ConnLocalW11" localSheetId="22">AM!#REF!</definedName>
    <definedName name="ConnLocalW11">AM!#REF!</definedName>
    <definedName name="ConnLocalW14" localSheetId="22">SBRM!#REF!</definedName>
    <definedName name="ConnLocalW14">SBRM!#REF!</definedName>
    <definedName name="ConnLocalW15" localSheetId="22">PH!#REF!</definedName>
    <definedName name="ConnLocalW15">PH!#REF!</definedName>
    <definedName name="ConnLocalWet11" localSheetId="22">AM!#REF!</definedName>
    <definedName name="ConnLocalWet11">AM!#REF!</definedName>
    <definedName name="ConnLocalWet13" localSheetId="22">FIRE!#REF!</definedName>
    <definedName name="ConnLocalWet13">WB!#REF!</definedName>
    <definedName name="ConnLocalWetS" localSheetId="22">#REF!</definedName>
    <definedName name="ConnLocalWetS">#REF!</definedName>
    <definedName name="ConnLocalWL" localSheetId="22">#REF!</definedName>
    <definedName name="ConnLocalWL">#REF!</definedName>
    <definedName name="ConsInvest" localSheetId="22">HU!#REF!</definedName>
    <definedName name="ConsInvest" localSheetId="2">[1]PU!$G$22</definedName>
    <definedName name="Constric_C" localSheetId="22">#REF!</definedName>
    <definedName name="Constric_C" localSheetId="2">[1]CQ!#REF!</definedName>
    <definedName name="Constric_S" localSheetId="22">#REF!</definedName>
    <definedName name="Constric_S" localSheetId="2">[1]Sen!$G$34</definedName>
    <definedName name="Constric1" localSheetId="2">[1]WS!$G$53</definedName>
    <definedName name="Constric1">WS!$G$82</definedName>
    <definedName name="Constric10" localSheetId="22">FH!#REF!</definedName>
    <definedName name="Constric10" localSheetId="2">[1]FR!$G$64</definedName>
    <definedName name="Constric2" localSheetId="2">[1]SR!$G$41</definedName>
    <definedName name="Constric2">SR!$G$76</definedName>
    <definedName name="Constric3" localSheetId="2">[1]PR!$G$58</definedName>
    <definedName name="Constric3">PR!$G$94</definedName>
    <definedName name="Constric4" localSheetId="2">[1]NR!$G$54</definedName>
    <definedName name="Constric4">NR!$G$113</definedName>
    <definedName name="Constric5" localSheetId="22">#REF!</definedName>
    <definedName name="Constric5" localSheetId="2">[1]CS!$G$63</definedName>
    <definedName name="Constric6" localSheetId="2">[1]OE!$G$60</definedName>
    <definedName name="Constric6">OE!$G$100</definedName>
    <definedName name="Constricted" localSheetId="22">#REF!</definedName>
    <definedName name="Constricted">#REF!</definedName>
    <definedName name="ConsumpU" localSheetId="22">#REF!</definedName>
    <definedName name="ConsumpU">#REF!</definedName>
    <definedName name="ContribUp" localSheetId="22">#REF!</definedName>
    <definedName name="ContribUp" localSheetId="2">#REF!</definedName>
    <definedName name="Conven" localSheetId="22">HU!#REF!</definedName>
    <definedName name="Conven">HU!#REF!</definedName>
    <definedName name="Core1" localSheetId="22">#REF!</definedName>
    <definedName name="Core1" localSheetId="2">[1]STR!$G$25</definedName>
    <definedName name="Core1_11" localSheetId="2">[1]AM!$G$125</definedName>
    <definedName name="Core1_11">AM!$G$115</definedName>
    <definedName name="Core1_13" localSheetId="22">FIRE!#REF!</definedName>
    <definedName name="Core1_13" localSheetId="2">[1]WBN!$G$118</definedName>
    <definedName name="Core1_13">WB!$G$136</definedName>
    <definedName name="Core10" localSheetId="22">FH!#REF!</definedName>
    <definedName name="Core10">FH!#REF!</definedName>
    <definedName name="Core12a" localSheetId="22">#REF!</definedName>
    <definedName name="Core12a" localSheetId="2">[1]WBF!$G$102</definedName>
    <definedName name="Core12b" localSheetId="22">#REF!</definedName>
    <definedName name="Core12b" localSheetId="2">[1]WBF!$G$107</definedName>
    <definedName name="Core13a" localSheetId="22">FIRE!#REF!</definedName>
    <definedName name="Core13a">WB!$G$136</definedName>
    <definedName name="Core14a" localSheetId="2">[1]SBM!$G$84</definedName>
    <definedName name="Core14a">SBRM!$G$131</definedName>
    <definedName name="Core14b" localSheetId="2">[1]SBM!$G$89</definedName>
    <definedName name="Core14b">SBRM!$G$138</definedName>
    <definedName name="Core1pd" localSheetId="2">[1]PD!$G$120</definedName>
    <definedName name="Core1pd">PH!$G$159</definedName>
    <definedName name="Core1PU">HU!$G$34</definedName>
    <definedName name="Core2" localSheetId="22">#REF!</definedName>
    <definedName name="Core2" localSheetId="2">[1]STR!$G$30</definedName>
    <definedName name="Core2_11" localSheetId="2">[1]AM!$G$130</definedName>
    <definedName name="Core2_11">AM!$G$122</definedName>
    <definedName name="Core2_13" localSheetId="22">FIRE!#REF!</definedName>
    <definedName name="Core2_13" localSheetId="2">[1]WBN!$G$123</definedName>
    <definedName name="Core2_13">WB!$G$143</definedName>
    <definedName name="Core2pd" localSheetId="2">[1]PD!$G$125</definedName>
    <definedName name="Core2pd">PH!$G$166</definedName>
    <definedName name="Core2PU">HU!$G$41</definedName>
    <definedName name="Core9" localSheetId="22">#REF!</definedName>
    <definedName name="Core9">#REF!</definedName>
    <definedName name="County" localSheetId="22">#REF!</definedName>
    <definedName name="County" localSheetId="2">#REF!</definedName>
    <definedName name="CountyNPrank" localSheetId="22">#REF!</definedName>
    <definedName name="CountyNPrank" localSheetId="2">#REF!</definedName>
    <definedName name="CoverAppro_C" localSheetId="22">#REF!</definedName>
    <definedName name="CoverAppro_C" localSheetId="2">[1]CQ!#REF!</definedName>
    <definedName name="CoverAppro2" localSheetId="22">#REF!</definedName>
    <definedName name="CoverAppro2" localSheetId="2">#REF!</definedName>
    <definedName name="Cowardin" localSheetId="22">#REF!</definedName>
    <definedName name="Cowardin" localSheetId="2">#REF!</definedName>
    <definedName name="CropDist" localSheetId="22">#REF!</definedName>
    <definedName name="CropDist">#REF!</definedName>
    <definedName name="CropDist0" localSheetId="22">#REF!</definedName>
    <definedName name="CropDist0">#REF!</definedName>
    <definedName name="crops0" localSheetId="22">#REF!</definedName>
    <definedName name="crops0" localSheetId="2">[1]POL!$G$105</definedName>
    <definedName name="Crowds" localSheetId="22">#REF!</definedName>
    <definedName name="Crowds" localSheetId="2">#REF!</definedName>
    <definedName name="Crowds2" localSheetId="22">#REF!</definedName>
    <definedName name="Crowds2" localSheetId="2">#REF!</definedName>
    <definedName name="Cshed6" localSheetId="22">OE!#REF!</definedName>
    <definedName name="Cshed6">OE!#REF!</definedName>
    <definedName name="Cshed9" localSheetId="22">#REF!</definedName>
    <definedName name="Cshed9">#REF!</definedName>
    <definedName name="CSshed" localSheetId="22">#REF!</definedName>
    <definedName name="CSshed">#REF!</definedName>
    <definedName name="Cstock1a">OE!$G$123</definedName>
    <definedName name="Cstock1b">OE!#REF!</definedName>
    <definedName name="CtyRankNP" localSheetId="22">#REF!</definedName>
    <definedName name="CtyRankNP" localSheetId="2">#REF!</definedName>
    <definedName name="CUbuffLUtype8" localSheetId="2">[1]INV!$G$128</definedName>
    <definedName name="CUbuffNatPct14" localSheetId="2">[1]SBM!$G$94</definedName>
    <definedName name="CUbuffNatPct14">SBRM!$G$121</definedName>
    <definedName name="CUbuffPctNat_S" localSheetId="22">#REF!</definedName>
    <definedName name="CUbuffPctNat_S" localSheetId="2">[1]Sen!#REF!</definedName>
    <definedName name="CUbuffPctNat8">INV!$G$141</definedName>
    <definedName name="CUratio_S" localSheetId="22">#REF!</definedName>
    <definedName name="CUratio_S" localSheetId="2">[1]Sen!$G$174</definedName>
    <definedName name="CUratioSS" localSheetId="22">SR!#REF!</definedName>
    <definedName name="CUratioSS">SR!#REF!</definedName>
    <definedName name="CUtypeLU14" localSheetId="2">[1]SBM!$G$100</definedName>
    <definedName name="dbhPD">PH!$G$28</definedName>
    <definedName name="DeadZone" localSheetId="22">#REF!</definedName>
    <definedName name="DeadZone" localSheetId="2">#REF!</definedName>
    <definedName name="Decid6">OE!#REF!</definedName>
    <definedName name="DecidPct5" localSheetId="22">#REF!</definedName>
    <definedName name="DecidPct5">#REF!</definedName>
    <definedName name="DeepSpot10" localSheetId="22">FH!#REF!</definedName>
    <definedName name="DeepSpot10">FH!#REF!</definedName>
    <definedName name="DeepSpot11" localSheetId="22">AM!#REF!</definedName>
    <definedName name="DeepSpot11" localSheetId="2">[1]AM!$G$43</definedName>
    <definedName name="DeepSpot12" localSheetId="22">#REF!</definedName>
    <definedName name="DeepSpot12" localSheetId="2">[1]WBF!#REF!</definedName>
    <definedName name="DeepSpot13" localSheetId="22">FIRE!#REF!</definedName>
    <definedName name="DeepSpot13">WB!#REF!</definedName>
    <definedName name="DeepSpot2" localSheetId="22">SR!#REF!</definedName>
    <definedName name="DeepSpot2">SR!#REF!</definedName>
    <definedName name="DeepSpot3" localSheetId="22">PR!#REF!</definedName>
    <definedName name="DeepSpot3">PR!#REF!</definedName>
    <definedName name="DeerShed14" localSheetId="22">SBRM!#REF!</definedName>
    <definedName name="DeerShed14">SBRM!#REF!</definedName>
    <definedName name="DeerShedPS" localSheetId="22">#REF!</definedName>
    <definedName name="DeerShedPS">#REF!</definedName>
    <definedName name="DeerShedPS2" localSheetId="22">#REF!</definedName>
    <definedName name="DeerShedPS2">#REF!</definedName>
    <definedName name="DELAY1A">NR!$G$145</definedName>
    <definedName name="DELAY1B">NR!#REF!</definedName>
    <definedName name="Depth_S" localSheetId="22">#REF!</definedName>
    <definedName name="Depth_S" localSheetId="2">[1]Sen!$G$18</definedName>
    <definedName name="Depth10" localSheetId="2">[1]FR!$G$48</definedName>
    <definedName name="Depth10">FH!$G$35</definedName>
    <definedName name="Depth12" localSheetId="22">#REF!</definedName>
    <definedName name="Depth12" localSheetId="2">[1]WBF!$G$44</definedName>
    <definedName name="Depth13" localSheetId="22">FIRE!#REF!</definedName>
    <definedName name="Depth13" localSheetId="2">[1]WBN!$G$36</definedName>
    <definedName name="Depth15" localSheetId="2">[1]PD!$G$37</definedName>
    <definedName name="Depth15">PH!$G$109</definedName>
    <definedName name="Depth2_">SFS!$G$27</definedName>
    <definedName name="Depth5" localSheetId="22">#REF!</definedName>
    <definedName name="Depth5" localSheetId="2">[1]CS!$G$47</definedName>
    <definedName name="Depth6" localSheetId="22">OE!#REF!</definedName>
    <definedName name="Depth6" localSheetId="2">[1]OE!$G$48</definedName>
    <definedName name="Depth7" localSheetId="2">[1]T!$G$13</definedName>
    <definedName name="Depth7">WC!$G$27</definedName>
    <definedName name="Depth7w" localSheetId="22">#REF!</definedName>
    <definedName name="Depth7w">#REF!</definedName>
    <definedName name="Depth8" localSheetId="2">[1]INV!$G$53</definedName>
    <definedName name="Depth8">INV!$G$85</definedName>
    <definedName name="Depth9" localSheetId="22">#REF!</definedName>
    <definedName name="Depth9" localSheetId="2">[1]FA!$G$38</definedName>
    <definedName name="DepthC2" localSheetId="2">[1]SR!$G$30</definedName>
    <definedName name="DepthC2">SR!$G$28</definedName>
    <definedName name="DepthDiv8">INV!$G$91</definedName>
    <definedName name="DepthDom5" localSheetId="22">#REF!</definedName>
    <definedName name="DepthDom5">#REF!</definedName>
    <definedName name="DepthEven10" localSheetId="2">[1]FR!$G$54</definedName>
    <definedName name="DepthEven10">FH!$G$41</definedName>
    <definedName name="DepthEven11" localSheetId="22">AM!#REF!</definedName>
    <definedName name="DepthEven11" localSheetId="2">[1]AM!#REF!</definedName>
    <definedName name="DepthEven12" localSheetId="22">#REF!</definedName>
    <definedName name="DepthEven12" localSheetId="2">[1]WBF!$G$50</definedName>
    <definedName name="DepthEven13" localSheetId="22">FIRE!#REF!</definedName>
    <definedName name="DepthEven13" localSheetId="2">[1]WBN!$G$42</definedName>
    <definedName name="DepthEven13">WB!$G$79</definedName>
    <definedName name="DepthEven8" localSheetId="22">INV!#REF!</definedName>
    <definedName name="DepthEven8" localSheetId="2">[1]INV!$G$59</definedName>
    <definedName name="Designated" localSheetId="22">#REF!</definedName>
    <definedName name="Designated" localSheetId="2">#REF!</definedName>
    <definedName name="Desorb3" localSheetId="22">PR!#REF!</definedName>
    <definedName name="Desorb3">PR!#REF!</definedName>
    <definedName name="DevCA" localSheetId="22">OF!#REF!</definedName>
    <definedName name="DevCA">OF!#REF!</definedName>
    <definedName name="Deveg_C" localSheetId="22">#REF!</definedName>
    <definedName name="Deveg_C">#REF!</definedName>
    <definedName name="Deveg11" localSheetId="22">AM!#REF!</definedName>
    <definedName name="Deveg11" localSheetId="2">[1]AM!$G$113</definedName>
    <definedName name="Deveg13" localSheetId="22">FIRE!#REF!</definedName>
    <definedName name="Deveg13" localSheetId="2">[1]WBN!$G$113</definedName>
    <definedName name="Deveg14" localSheetId="22">SBRM!#REF!</definedName>
    <definedName name="Deveg14" localSheetId="2">[1]SBM!$G$79</definedName>
    <definedName name="Deveg2" localSheetId="22">SR!#REF!</definedName>
    <definedName name="Deveg2" localSheetId="2">[1]SR!$G$70</definedName>
    <definedName name="Deveg5" localSheetId="22">#REF!</definedName>
    <definedName name="Deveg5" localSheetId="2">[1]CS!$G$126</definedName>
    <definedName name="Deveg6" localSheetId="22">OE!#REF!</definedName>
    <definedName name="Deveg6" localSheetId="2">[1]OE!$G$110</definedName>
    <definedName name="Deveg8" localSheetId="22">INV!#REF!</definedName>
    <definedName name="Deveg8" localSheetId="2">[1]INV!$G$116</definedName>
    <definedName name="devegPD" localSheetId="22">PH!#REF!</definedName>
    <definedName name="devegPD" localSheetId="2">[1]PD!$G$109</definedName>
    <definedName name="DisGrassRems" localSheetId="22">PH!#REF!</definedName>
    <definedName name="DisGrassRems">PH!#REF!</definedName>
    <definedName name="DisParkRems" localSheetId="22">PH!#REF!</definedName>
    <definedName name="DisParkRems">PH!#REF!</definedName>
    <definedName name="DisRd14" localSheetId="22">SBRM!#REF!</definedName>
    <definedName name="DisRd14" localSheetId="2">[1]SBM!$G$109</definedName>
    <definedName name="Dist2DevCrop">OF!$E$7</definedName>
    <definedName name="Dist2Industrial">OF!$E$55</definedName>
    <definedName name="Dist2Road">OF!$E$8</definedName>
    <definedName name="DistBigWooded" localSheetId="22">OF!#REF!</definedName>
    <definedName name="DistBigWooded">OF!#REF!</definedName>
    <definedName name="DistDisturbAq" localSheetId="22">OF!#REF!</definedName>
    <definedName name="DistDisturbAq">OF!#REF!</definedName>
    <definedName name="DistExceedSS" localSheetId="22">SR!#REF!</definedName>
    <definedName name="DistExceedSS" localSheetId="2">[1]SR!#REF!</definedName>
    <definedName name="DistGrass11" localSheetId="22">AM!#REF!</definedName>
    <definedName name="DistGrass11">AM!#REF!</definedName>
    <definedName name="DistGrass13" localSheetId="22">FIRE!#REF!</definedName>
    <definedName name="DistGrass13">WB!#REF!</definedName>
    <definedName name="DistGrass14" localSheetId="22">SBRM!#REF!</definedName>
    <definedName name="DistGrass14">SBRM!#REF!</definedName>
    <definedName name="DistIndus">OF!$E$55</definedName>
    <definedName name="DistNatCov" localSheetId="22">OF!#REF!</definedName>
    <definedName name="DistNatCov">OF!#REF!</definedName>
    <definedName name="DistNatGrass" localSheetId="22">OF!#REF!</definedName>
    <definedName name="DistNatGrass">OF!#REF!</definedName>
    <definedName name="DistPark14" localSheetId="22">SBRM!#REF!</definedName>
    <definedName name="DistPark14">SBRM!#REF!</definedName>
    <definedName name="DistParkRem11" localSheetId="22">AM!#REF!</definedName>
    <definedName name="DistParkRem11">AM!#REF!</definedName>
    <definedName name="DistPond11" localSheetId="22">AM!#REF!</definedName>
    <definedName name="DistPond11">AM!#REF!</definedName>
    <definedName name="DistPop">OF!$E$9</definedName>
    <definedName name="DistRd10" localSheetId="22">FH!#REF!</definedName>
    <definedName name="DistRd10">FH!#REF!</definedName>
    <definedName name="DistRd15" localSheetId="22">PH!#REF!</definedName>
    <definedName name="DistRd15">PH!#REF!</definedName>
    <definedName name="DistRd9" localSheetId="22">#REF!</definedName>
    <definedName name="DistRd9">#REF!</definedName>
    <definedName name="DistRdPD" localSheetId="22">PH!#REF!</definedName>
    <definedName name="DistRdPD" localSheetId="2">[1]PD!$G$163</definedName>
    <definedName name="DistRdPU" localSheetId="22">HU!#REF!</definedName>
    <definedName name="DistRdPU">HU!#REF!</definedName>
    <definedName name="Disturb" localSheetId="22">#REF!</definedName>
    <definedName name="Disturb" localSheetId="2">#REF!</definedName>
    <definedName name="Disturb5k" localSheetId="22">OF!#REF!</definedName>
    <definedName name="Disturb5k">OF!#REF!</definedName>
    <definedName name="DisturbStress" localSheetId="22">#REF!</definedName>
    <definedName name="DisturbStress">#REF!</definedName>
    <definedName name="DisWettype11" localSheetId="22">AM!#REF!</definedName>
    <definedName name="DisWettype11">AM!#REF!</definedName>
    <definedName name="DisWettype11v" localSheetId="22">AM!#REF!</definedName>
    <definedName name="DisWettype11v">AM!#REF!</definedName>
    <definedName name="DisWettype13" localSheetId="22">FIRE!#REF!</definedName>
    <definedName name="DisWettype13">WB!#REF!</definedName>
    <definedName name="DisWettype13v" localSheetId="22">FIRE!#REF!</definedName>
    <definedName name="DisWettype13v">WB!#REF!</definedName>
    <definedName name="DisWettype8" localSheetId="22">INV!#REF!</definedName>
    <definedName name="DisWettype8">INV!#REF!</definedName>
    <definedName name="DisWettype8v" localSheetId="22">INV!#REF!</definedName>
    <definedName name="DisWettype8v">INV!#REF!</definedName>
    <definedName name="DisWettypePD" localSheetId="22">PH!#REF!</definedName>
    <definedName name="DisWettypePD">PH!#REF!</definedName>
    <definedName name="DisWettypeS" localSheetId="22">#REF!</definedName>
    <definedName name="DisWettypeS">#REF!</definedName>
    <definedName name="Ditching1" localSheetId="22">WS!#REF!</definedName>
    <definedName name="Ditching1">WS!#REF!</definedName>
    <definedName name="DomDepth3" localSheetId="2">[1]PR!$G$47</definedName>
    <definedName name="DomDepth3">PR!$G$51</definedName>
    <definedName name="DownDistExceedSS" localSheetId="22">SR!#REF!</definedName>
    <definedName name="DownDistExceedSS" localSheetId="2">[1]SR!$G$112</definedName>
    <definedName name="DownEroding" localSheetId="22">#REF!</definedName>
    <definedName name="DownEroding" localSheetId="2">#REF!</definedName>
    <definedName name="DownExceed" localSheetId="22">#REF!</definedName>
    <definedName name="DownExceed" localSheetId="2">#REF!</definedName>
    <definedName name="DownExceed2" localSheetId="22">SR!#REF!</definedName>
    <definedName name="DownExceed2">SR!#REF!</definedName>
    <definedName name="DownExceedDist" localSheetId="22">#REF!</definedName>
    <definedName name="DownExceedDist" localSheetId="2">#REF!</definedName>
    <definedName name="DownExceedSS" localSheetId="22">SR!#REF!</definedName>
    <definedName name="DownExceedSS">SR!#REF!</definedName>
    <definedName name="DownNitrate" localSheetId="22">#REF!</definedName>
    <definedName name="DownNitrate" localSheetId="2">#REF!</definedName>
    <definedName name="DownPhos" localSheetId="22">#REF!</definedName>
    <definedName name="DownPhos" localSheetId="2">#REF!</definedName>
    <definedName name="DownStorage" localSheetId="22">#REF!</definedName>
    <definedName name="DownStorage" localSheetId="2">#REF!</definedName>
    <definedName name="DownStore1" localSheetId="22">WS!#REF!</definedName>
    <definedName name="DownStore1" localSheetId="2">[1]WS!$G$102</definedName>
    <definedName name="DownThermo" localSheetId="22">#REF!</definedName>
    <definedName name="DownThermo" localSheetId="2">#REF!</definedName>
    <definedName name="DownTurb" localSheetId="22">#REF!</definedName>
    <definedName name="DownTurb" localSheetId="2">#REF!</definedName>
    <definedName name="downwood0" localSheetId="22">#REF!</definedName>
    <definedName name="downwood0" localSheetId="2">[1]POL!$G$69</definedName>
    <definedName name="DownWood15">PH!$G$44</definedName>
    <definedName name="DownWQdis2" localSheetId="22">SR!#REF!</definedName>
    <definedName name="DownWQdis2">SR!#REF!</definedName>
    <definedName name="Drawdown3" localSheetId="22">PR!#REF!</definedName>
    <definedName name="Drawdown3" localSheetId="2">[1]PR!$G$14</definedName>
    <definedName name="Drier" localSheetId="22">#REF!</definedName>
    <definedName name="Drier" localSheetId="2">[1]STR!$G$3</definedName>
    <definedName name="drier1" localSheetId="22">WS!#REF!</definedName>
    <definedName name="drier1">WS!#REF!</definedName>
    <definedName name="drier1a" localSheetId="22">WS!#REF!</definedName>
    <definedName name="drier1a">WS!#REF!</definedName>
    <definedName name="Drier3" localSheetId="22">PR!#REF!</definedName>
    <definedName name="Drier3" localSheetId="2">[1]PR!$G$105</definedName>
    <definedName name="Drier4" localSheetId="22">NR!#REF!</definedName>
    <definedName name="Drier4" localSheetId="2">[1]NR!$G$103</definedName>
    <definedName name="Drier5" localSheetId="22">#REF!</definedName>
    <definedName name="Drier5" localSheetId="2">[1]CS!$G$135</definedName>
    <definedName name="DrierEx" localSheetId="22">#REF!</definedName>
    <definedName name="DrierEx">#REF!</definedName>
    <definedName name="Drink4" localSheetId="22">NR!#REF!</definedName>
    <definedName name="Drink4" localSheetId="2">[1]NR!$G$136</definedName>
    <definedName name="DryIntercept" localSheetId="22">SR!#REF!</definedName>
    <definedName name="DryIntercept">SR!#REF!</definedName>
    <definedName name="DuckDens">OF!#REF!</definedName>
    <definedName name="DuckDens13" localSheetId="22">FIRE!#REF!</definedName>
    <definedName name="DuckDens13">WB!#REF!</definedName>
    <definedName name="DuckDens8v" localSheetId="22">INV!#REF!</definedName>
    <definedName name="DuckDens8v">INV!#REF!</definedName>
    <definedName name="DuckFood12" localSheetId="22">#REF!</definedName>
    <definedName name="DuckFood12" localSheetId="2">[1]WBF!$G$84</definedName>
    <definedName name="DuckFood13" localSheetId="22">FIRE!#REF!</definedName>
    <definedName name="DuckFood13" localSheetId="2">[1]WBN!$G$93</definedName>
    <definedName name="DuckHunt" localSheetId="22">#REF!</definedName>
    <definedName name="DuckHunt">#REF!</definedName>
    <definedName name="DWsource3" localSheetId="22">PR!#REF!</definedName>
    <definedName name="DWsource3">PR!#REF!</definedName>
    <definedName name="Elev" localSheetId="22">SR!#REF!</definedName>
    <definedName name="Elev">SR!#REF!</definedName>
    <definedName name="Elev1" localSheetId="22">WS!#REF!</definedName>
    <definedName name="Elev1">WS!#REF!</definedName>
    <definedName name="Elev10" localSheetId="22">FH!#REF!</definedName>
    <definedName name="Elev10">FH!#REF!</definedName>
    <definedName name="Elev11" localSheetId="22">AM!#REF!</definedName>
    <definedName name="Elev11">AM!#REF!</definedName>
    <definedName name="Elev12" localSheetId="22">#REF!</definedName>
    <definedName name="Elev12">#REF!</definedName>
    <definedName name="Elev13" localSheetId="22">FIRE!#REF!</definedName>
    <definedName name="Elev13">WB!#REF!</definedName>
    <definedName name="Elev14" localSheetId="22">SBRM!#REF!</definedName>
    <definedName name="Elev14">SBRM!#REF!</definedName>
    <definedName name="Elev2" localSheetId="22">SR!#REF!</definedName>
    <definedName name="Elev2">SR!#REF!</definedName>
    <definedName name="Elev2_" localSheetId="22">SFS!#REF!</definedName>
    <definedName name="Elev2_">SFS!#REF!</definedName>
    <definedName name="Elev2a" localSheetId="22">SR!#REF!</definedName>
    <definedName name="Elev2a">SR!#REF!</definedName>
    <definedName name="Elev3" localSheetId="22">PR!#REF!</definedName>
    <definedName name="Elev3">PR!#REF!</definedName>
    <definedName name="Elev4" localSheetId="22">NR!#REF!</definedName>
    <definedName name="Elev4">NR!#REF!</definedName>
    <definedName name="Elev5" localSheetId="22">#REF!</definedName>
    <definedName name="Elev5">#REF!</definedName>
    <definedName name="Elev6" localSheetId="22">OE!#REF!</definedName>
    <definedName name="Elev6">OE!#REF!</definedName>
    <definedName name="Elev7" localSheetId="22">WC!#REF!</definedName>
    <definedName name="Elev7">WC!#REF!</definedName>
    <definedName name="Elev7w" localSheetId="22">#REF!</definedName>
    <definedName name="Elev7w">#REF!</definedName>
    <definedName name="Elev9" localSheetId="22">#REF!</definedName>
    <definedName name="Elev9">#REF!</definedName>
    <definedName name="Elevatn2" localSheetId="22">SFS!#REF!</definedName>
    <definedName name="Elevatn2">SFS!#REF!</definedName>
    <definedName name="ElevPctileHUC8">OF!$E$10</definedName>
    <definedName name="ElevPD" localSheetId="22">PH!#REF!</definedName>
    <definedName name="ElevPD">PH!#REF!</definedName>
    <definedName name="ElevPU" localSheetId="22">HU!#REF!</definedName>
    <definedName name="ElevPU">HU!#REF!</definedName>
    <definedName name="ElevS" localSheetId="22">#REF!</definedName>
    <definedName name="ElevS">#REF!</definedName>
    <definedName name="EmPct12" localSheetId="22">#REF!</definedName>
    <definedName name="EmPct12" localSheetId="2">[1]WBF!$G$78</definedName>
    <definedName name="EmPct13" localSheetId="22">FIRE!#REF!</definedName>
    <definedName name="EmPct13" localSheetId="2">[1]WBN!$G$74</definedName>
    <definedName name="EmPct13">WB!$G$47</definedName>
    <definedName name="EmPct8" localSheetId="22">INV!#REF!</definedName>
    <definedName name="EmPct8" localSheetId="2">[1]INV!$G$88</definedName>
    <definedName name="EmSens1_C" localSheetId="22">#REF!</definedName>
    <definedName name="EmSens1_C" localSheetId="2">[1]CQ!$G$37</definedName>
    <definedName name="EmSens1_S" localSheetId="22">#REF!</definedName>
    <definedName name="EmSens1_S" localSheetId="2">[1]Sen!$G$62</definedName>
    <definedName name="EmSens2_C" localSheetId="22">#REF!</definedName>
    <definedName name="EmSens2_C" localSheetId="2">[1]CQ!$G$46</definedName>
    <definedName name="EmSens2_S" localSheetId="22">#REF!</definedName>
    <definedName name="EmSens2_S" localSheetId="2">[1]Sen!#REF!</definedName>
    <definedName name="Enrich" localSheetId="22">#REF!</definedName>
    <definedName name="Enrich">#REF!</definedName>
    <definedName name="Entrain" localSheetId="22">SR!#REF!</definedName>
    <definedName name="Entrain">SR!#REF!</definedName>
    <definedName name="Erodib_S" localSheetId="22">#REF!</definedName>
    <definedName name="Erodib_S" localSheetId="2">[1]Sen!$G$157</definedName>
    <definedName name="Erodible2" localSheetId="22">SR!#REF!</definedName>
    <definedName name="Erodible2">SR!#REF!</definedName>
    <definedName name="ErodibleSS" localSheetId="22">SR!#REF!</definedName>
    <definedName name="ErodibleSS" localSheetId="2">[1]SR!$G$116</definedName>
    <definedName name="Eroding_C" localSheetId="22">#REF!</definedName>
    <definedName name="Eroding_C" localSheetId="2">[1]CQ!#REF!</definedName>
    <definedName name="Eroding2" localSheetId="22">#REF!</definedName>
    <definedName name="Eroding2" localSheetId="2">#REF!</definedName>
    <definedName name="ErodScore3" localSheetId="22">PR!#REF!</definedName>
    <definedName name="ErodScore3" localSheetId="2">[1]PR!$G$128</definedName>
    <definedName name="EstuPos1" localSheetId="22">WS!#REF!</definedName>
    <definedName name="EstuPos1">WS!#REF!</definedName>
    <definedName name="EstuPos1low" localSheetId="22">WS!#REF!</definedName>
    <definedName name="EstuPos1low" localSheetId="2">[1]WS!$D$5</definedName>
    <definedName name="EstuPos1mid" localSheetId="22">WS!#REF!</definedName>
    <definedName name="EstuPos1mid" localSheetId="2">[1]WS!$D$6</definedName>
    <definedName name="EstuPos1up" localSheetId="22">WS!#REF!</definedName>
    <definedName name="EstuPos1up">WS!#REF!</definedName>
    <definedName name="EstuPos3" localSheetId="22">PR!#REF!</definedName>
    <definedName name="EstuPos3" localSheetId="2">[1]PR!$G$10</definedName>
    <definedName name="EstuPos5" localSheetId="22">#REF!</definedName>
    <definedName name="EstuPos5">#REF!</definedName>
    <definedName name="EstuPos9" localSheetId="22">#REF!</definedName>
    <definedName name="EstuPos9" localSheetId="2">[1]FA!#REF!</definedName>
    <definedName name="EstuPosLo9" localSheetId="22">#REF!</definedName>
    <definedName name="EstuPosLo9" localSheetId="2">[1]FA!#REF!</definedName>
    <definedName name="EstuPosMid9" localSheetId="22">#REF!</definedName>
    <definedName name="EstuPosMid9" localSheetId="2">[1]FA!#REF!</definedName>
    <definedName name="EstuPosPD" localSheetId="22">PH!#REF!</definedName>
    <definedName name="EstuPosPD" localSheetId="2">[1]PD!$G$21</definedName>
    <definedName name="EstuPosUp9" localSheetId="22">#REF!</definedName>
    <definedName name="EstuPosUp9" localSheetId="2">[1]FA!#REF!</definedName>
    <definedName name="exoticmivs8" localSheetId="22">INV!#REF!</definedName>
    <definedName name="exoticmivs8" localSheetId="2">[1]INV!$G$75</definedName>
    <definedName name="Exotics" localSheetId="22">#REF!</definedName>
    <definedName name="Exotics" localSheetId="2">[1]CQ!$G$13</definedName>
    <definedName name="ExportPot6" localSheetId="22">OE!#REF!</definedName>
    <definedName name="ExportPot6">OE!#REF!</definedName>
    <definedName name="ExposedCA" localSheetId="22">OF!#REF!</definedName>
    <definedName name="ExposedCA">OF!#REF!</definedName>
    <definedName name="Fen2_">SFS!#REF!</definedName>
    <definedName name="FenBogMarsh">OF!$E$11</definedName>
    <definedName name="FenMarshSwamp">OF!$E$12</definedName>
    <definedName name="FenPct">OF!$E$13</definedName>
    <definedName name="FenPct5K" localSheetId="22">OF!#REF!</definedName>
    <definedName name="FenPct5K">OF!#REF!</definedName>
    <definedName name="Fertility" localSheetId="22">#REF!</definedName>
    <definedName name="Fertility">#REF!</definedName>
    <definedName name="FireBreak">OF!$E$56</definedName>
    <definedName name="FireHay12" localSheetId="22">#REF!</definedName>
    <definedName name="FireHay12" localSheetId="2">[1]WBF!$G$90</definedName>
    <definedName name="FireHay13" localSheetId="22">FIRE!#REF!</definedName>
    <definedName name="FireHay13" localSheetId="2">[1]WBN!$G$99</definedName>
    <definedName name="FireHay3" localSheetId="22">PR!#REF!</definedName>
    <definedName name="FireHay3" localSheetId="2">[1]PR!$G$75</definedName>
    <definedName name="FireHay5" localSheetId="22">#REF!</definedName>
    <definedName name="FireHay5" localSheetId="2">[1]CS!$G$101</definedName>
    <definedName name="FireHay6" localSheetId="22">OE!#REF!</definedName>
    <definedName name="FireHay6" localSheetId="2">[1]OE!$G$85</definedName>
    <definedName name="FireHayPD" localSheetId="22">PH!#REF!</definedName>
    <definedName name="FireHayPD" localSheetId="2">[1]PD!$G$86</definedName>
    <definedName name="Fish10">FH!$G$67</definedName>
    <definedName name="Fish11">AM!$G$89</definedName>
    <definedName name="Fish12a" localSheetId="22">#REF!</definedName>
    <definedName name="Fish12a">#REF!</definedName>
    <definedName name="Fish13" localSheetId="22">FIRE!#REF!</definedName>
    <definedName name="Fish13">WB!$G$115</definedName>
    <definedName name="Fish8">INV!#REF!</definedName>
    <definedName name="FishAcc11" localSheetId="22">AM!#REF!</definedName>
    <definedName name="FishAcc11">AM!#REF!</definedName>
    <definedName name="FishAcc12" localSheetId="22">#REF!</definedName>
    <definedName name="FishAcc12" localSheetId="2">[1]WBF!$G$101</definedName>
    <definedName name="FishAccessS" localSheetId="22">#REF!</definedName>
    <definedName name="FishAccessS">#REF!</definedName>
    <definedName name="Fishing" localSheetId="22">FH!#REF!</definedName>
    <definedName name="Fishing" localSheetId="2">[1]FR!$D$111</definedName>
    <definedName name="Fishing9" localSheetId="22">#REF!</definedName>
    <definedName name="Fishing9">#REF!</definedName>
    <definedName name="FishPres">OF!$E$14</definedName>
    <definedName name="FishRare10" localSheetId="22">FH!#REF!</definedName>
    <definedName name="FishRare10">FH!#REF!</definedName>
    <definedName name="FishScore" localSheetId="22">FH!#REF!</definedName>
    <definedName name="FishScore">FH!#REF!</definedName>
    <definedName name="FishScore8" localSheetId="22">INV!#REF!</definedName>
    <definedName name="FishScore8">INV!#REF!</definedName>
    <definedName name="FloDist1">WS!$G$11</definedName>
    <definedName name="FloDist4" localSheetId="22">NR!#REF!</definedName>
    <definedName name="FloDist4">NR!#REF!</definedName>
    <definedName name="FloDist6" localSheetId="22">OE!#REF!</definedName>
    <definedName name="FloDist6">OE!#REF!</definedName>
    <definedName name="Floodable" localSheetId="22">#REF!</definedName>
    <definedName name="Floodable" localSheetId="2">#REF!</definedName>
    <definedName name="FloodBdg1" localSheetId="22">WS!#REF!</definedName>
    <definedName name="FloodBdg1" localSheetId="2">[1]WS!$G$96</definedName>
    <definedName name="Flow8" localSheetId="22">INV!#REF!</definedName>
    <definedName name="Flow8">INV!#REF!</definedName>
    <definedName name="FlowDist2" localSheetId="22">SR!#REF!</definedName>
    <definedName name="FlowDist2">SR!#REF!</definedName>
    <definedName name="FlowDist3" localSheetId="22">PR!#REF!</definedName>
    <definedName name="FlowDist3">PR!#REF!</definedName>
    <definedName name="FlowIn2" localSheetId="22">SR!#REF!</definedName>
    <definedName name="FlowIn2">SR!#REF!</definedName>
    <definedName name="FlowThruFringe" localSheetId="22">F!#REF!</definedName>
    <definedName name="FlowThruFringe">F!#REF!</definedName>
    <definedName name="Fluc2">SR!$G$22</definedName>
    <definedName name="FlucMax1" localSheetId="22">WS!#REF!</definedName>
    <definedName name="FlucMax1" localSheetId="2">[1]WS!#REF!</definedName>
    <definedName name="FlucMax11" localSheetId="22">AM!#REF!</definedName>
    <definedName name="FlucMax11" localSheetId="2">[1]AM!#REF!</definedName>
    <definedName name="FlucMax13" localSheetId="22">FIRE!#REF!</definedName>
    <definedName name="FlucMax13" localSheetId="2">[1]WBN!#REF!</definedName>
    <definedName name="FlucMax2" localSheetId="22">SR!#REF!</definedName>
    <definedName name="FlucMax2" localSheetId="2">[1]SR!#REF!</definedName>
    <definedName name="FlucMax3" localSheetId="22">PR!#REF!</definedName>
    <definedName name="FlucMax3" localSheetId="2">[1]PR!#REF!</definedName>
    <definedName name="FlucMax4" localSheetId="22">NR!#REF!</definedName>
    <definedName name="FlucMax4" localSheetId="2">[1]NR!#REF!</definedName>
    <definedName name="FlucMax5" localSheetId="22">#REF!</definedName>
    <definedName name="FlucMax5" localSheetId="2">[1]CS!#REF!</definedName>
    <definedName name="FlucMax6" localSheetId="22">OE!#REF!</definedName>
    <definedName name="FlucMax6" localSheetId="2">[1]OE!#REF!</definedName>
    <definedName name="FlucMost2" localSheetId="22">SR!#REF!</definedName>
    <definedName name="FlucMost2" localSheetId="2">[1]SR!#REF!</definedName>
    <definedName name="FlucPD">PH!$G$103</definedName>
    <definedName name="Fluctu11" localSheetId="2">[1]AM!$G$37</definedName>
    <definedName name="Fluctu11">AM!$G$54</definedName>
    <definedName name="Fluctu13" localSheetId="22">FIRE!#REF!</definedName>
    <definedName name="Fluctu13" localSheetId="2">[1]WBN!$G$30</definedName>
    <definedName name="Fluctu13">WB!$G$73</definedName>
    <definedName name="Fluctu3" localSheetId="2">[1]PR!$G$41</definedName>
    <definedName name="Fluctu3">PR!$G$45</definedName>
    <definedName name="Fluctu4" localSheetId="2">[1]NR!$G$37</definedName>
    <definedName name="Fluctu4">NR!$G$71</definedName>
    <definedName name="Fluctu5" localSheetId="22">#REF!</definedName>
    <definedName name="Fluctu5" localSheetId="2">[1]CS!$G$41</definedName>
    <definedName name="Fluctu6" localSheetId="2">[1]OE!$G$42</definedName>
    <definedName name="Fluctu6">OE!$G$57</definedName>
    <definedName name="Fluctu8" localSheetId="2">[1]INV!$G$47</definedName>
    <definedName name="Fluctu8">INV!$G$79</definedName>
    <definedName name="Fluctua1" localSheetId="2">[1]WS!$G$42</definedName>
    <definedName name="Fluctua1">WS!$G$43</definedName>
    <definedName name="FocalSp14" localSheetId="22">SBRM!#REF!</definedName>
    <definedName name="FocalSp14">SBRM!#REF!</definedName>
    <definedName name="Food8" localSheetId="22">INV!#REF!</definedName>
    <definedName name="Food8">INV!#REF!</definedName>
    <definedName name="forb0" localSheetId="22">#REF!</definedName>
    <definedName name="forb0">#REF!</definedName>
    <definedName name="ForbCov14">SBRM!$G$71</definedName>
    <definedName name="forbsPD">PH!$G$71</definedName>
    <definedName name="ForestedPeat">F!$D$6</definedName>
    <definedName name="ForestPctScape11" localSheetId="22">AM!#REF!</definedName>
    <definedName name="ForestPctScape11" localSheetId="2">[1]AM!$G$135</definedName>
    <definedName name="ForestPctScape14" localSheetId="22">SBRM!#REF!</definedName>
    <definedName name="ForestPctScape14" localSheetId="2">[1]SBM!$G$116</definedName>
    <definedName name="ForestProx11" localSheetId="22">AM!#REF!</definedName>
    <definedName name="ForestProx11" localSheetId="2">[1]AM!$G$141</definedName>
    <definedName name="ForestProx14" localSheetId="22">SBRM!#REF!</definedName>
    <definedName name="ForestProx14" localSheetId="2">[1]SBM!$G$122</definedName>
    <definedName name="ForestSize11" localSheetId="22">AM!#REF!</definedName>
    <definedName name="ForestSize11" localSheetId="2">[1]AM!$G$146</definedName>
    <definedName name="ForestSize14" localSheetId="22">SBRM!#REF!</definedName>
    <definedName name="ForestSize14" localSheetId="2">[1]SBM!$G$127</definedName>
    <definedName name="FragStress" localSheetId="22">#REF!</definedName>
    <definedName name="FragStress">#REF!</definedName>
    <definedName name="Freeze_S" localSheetId="22">#REF!</definedName>
    <definedName name="Freeze_S" localSheetId="2">[1]Sen!$G$115</definedName>
    <definedName name="Freeze1" localSheetId="22">WS!#REF!</definedName>
    <definedName name="Freeze1" localSheetId="2">[1]WS!$G$62</definedName>
    <definedName name="Freeze10" localSheetId="22">FH!#REF!</definedName>
    <definedName name="Freeze10">FH!#REF!</definedName>
    <definedName name="Freeze12" localSheetId="22">#REF!</definedName>
    <definedName name="Freeze12" localSheetId="2">[1]WBF!$D$71</definedName>
    <definedName name="Freeze2" localSheetId="22">SR!#REF!</definedName>
    <definedName name="Freeze2" localSheetId="2">[1]SR!#REF!</definedName>
    <definedName name="Freeze3" localSheetId="22">PR!#REF!</definedName>
    <definedName name="Freeze3" localSheetId="2">[1]PR!$G$73</definedName>
    <definedName name="Freeze4" localSheetId="22">NR!#REF!</definedName>
    <definedName name="Freeze4" localSheetId="2">[1]NR!$G$101</definedName>
    <definedName name="Freeze5" localSheetId="22">#REF!</definedName>
    <definedName name="Freeze5" localSheetId="2">[1]CS!$G$81</definedName>
    <definedName name="Freeze6" localSheetId="22">OE!#REF!</definedName>
    <definedName name="Freeze6" localSheetId="2">[1]OE!$G$78</definedName>
    <definedName name="Freeze9" localSheetId="22">#REF!</definedName>
    <definedName name="Freeze9" localSheetId="2">[1]FA!#REF!</definedName>
    <definedName name="FreezeDur5" localSheetId="22">#REF!</definedName>
    <definedName name="FreezeDur5">#REF!</definedName>
    <definedName name="FreezeDura3" localSheetId="22">PR!#REF!</definedName>
    <definedName name="FreezeDura3">PR!#REF!</definedName>
    <definedName name="FreezeProne" localSheetId="22">#REF!</definedName>
    <definedName name="FreezeProne" localSheetId="2">#REF!</definedName>
    <definedName name="Freezing" localSheetId="22">WS!#REF!</definedName>
    <definedName name="Freezing">WS!#REF!</definedName>
    <definedName name="Fresh11" localSheetId="22">AM!#REF!</definedName>
    <definedName name="Fresh11" localSheetId="2">[1]AM!#REF!</definedName>
    <definedName name="Friction" localSheetId="22">WS!#REF!</definedName>
    <definedName name="Friction">WS!#REF!</definedName>
    <definedName name="Fringe">OF!$E$15</definedName>
    <definedName name="Fringe1" localSheetId="22">WS!#REF!</definedName>
    <definedName name="Fringe1" localSheetId="2">[1]WS!$G$3</definedName>
    <definedName name="Fringe10" localSheetId="2">[1]FR!$D$3</definedName>
    <definedName name="Fringe10">FH!$G$33</definedName>
    <definedName name="Fringe12" localSheetId="22">#REF!</definedName>
    <definedName name="Fringe12" localSheetId="2">[1]WBF!$D$3</definedName>
    <definedName name="Fringe12a" localSheetId="22">#REF!</definedName>
    <definedName name="Fringe12a">#REF!</definedName>
    <definedName name="Fringe13" localSheetId="22">FIRE!#REF!</definedName>
    <definedName name="Fringe13">WB!#REF!</definedName>
    <definedName name="Fringe14" localSheetId="22">SBRM!#REF!</definedName>
    <definedName name="Fringe14">SBRM!#REF!</definedName>
    <definedName name="Fringe14a" localSheetId="22">SBRM!#REF!</definedName>
    <definedName name="Fringe14a">SBRM!#REF!</definedName>
    <definedName name="Fringe2" localSheetId="22">SR!#REF!</definedName>
    <definedName name="Fringe2" localSheetId="2">[1]SR!#REF!</definedName>
    <definedName name="Fringe21">HU!$G$10</definedName>
    <definedName name="Fringe7a" localSheetId="22">WC!#REF!</definedName>
    <definedName name="Fringe7a">WC!#REF!</definedName>
    <definedName name="Fringe7b" localSheetId="22">WC!#REF!</definedName>
    <definedName name="Fringe7b">WC!#REF!</definedName>
    <definedName name="Fringe9" localSheetId="22">#REF!</definedName>
    <definedName name="Fringe9">#REF!</definedName>
    <definedName name="FrozDur4" localSheetId="22">NR!#REF!</definedName>
    <definedName name="FrozDur4">NR!#REF!</definedName>
    <definedName name="FrozDur6" localSheetId="22">OE!#REF!</definedName>
    <definedName name="FrozDur6">OE!#REF!</definedName>
    <definedName name="Frozen2" localSheetId="22">SR!#REF!</definedName>
    <definedName name="Frozen2">SR!#REF!</definedName>
    <definedName name="FscoreWBF" localSheetId="22">#REF!</definedName>
    <definedName name="FscoreWBF">#REF!</definedName>
    <definedName name="Gcover_S" localSheetId="22">#REF!</definedName>
    <definedName name="Gcover_S" localSheetId="2">[1]Sen!$G$105</definedName>
    <definedName name="gcover0" localSheetId="22">#REF!</definedName>
    <definedName name="gcover0" localSheetId="2">[1]POL!$G$64</definedName>
    <definedName name="Gcover11" localSheetId="22">AM!#REF!</definedName>
    <definedName name="Gcover11" localSheetId="2">[1]AM!$G$93</definedName>
    <definedName name="Gcover14" localSheetId="22">SBRM!#REF!</definedName>
    <definedName name="Gcover14" localSheetId="2">[1]SBM!$G$57</definedName>
    <definedName name="Gcover2" localSheetId="2">[1]SR!$G$56</definedName>
    <definedName name="Gcover2">SR!$G$7</definedName>
    <definedName name="Gcover3" localSheetId="2">[1]PR!$G$81</definedName>
    <definedName name="Gcover3">PR!$G$15</definedName>
    <definedName name="Gcover4" localSheetId="2">[1]NR!$G$75</definedName>
    <definedName name="Gcover4">NR!$G$32</definedName>
    <definedName name="Gcover5" localSheetId="22">#REF!</definedName>
    <definedName name="Gcover5" localSheetId="2">[1]CS!$G$107</definedName>
    <definedName name="Gcover6" localSheetId="2">[1]OE!$G$91</definedName>
    <definedName name="Gcover6">OE!$G$33</definedName>
    <definedName name="Gcover8" localSheetId="22">INV!#REF!</definedName>
    <definedName name="Gcover8" localSheetId="2">[1]INV!$G$103</definedName>
    <definedName name="GDD" localSheetId="22">OF!#REF!</definedName>
    <definedName name="GDD">OF!#REF!</definedName>
    <definedName name="GDD_S" localSheetId="22">#REF!</definedName>
    <definedName name="GDD_S">#REF!</definedName>
    <definedName name="GDDa2" localSheetId="22">SFS!#REF!</definedName>
    <definedName name="GDDa2">SFS!#REF!</definedName>
    <definedName name="GDDa3" localSheetId="22">WC!#REF!</definedName>
    <definedName name="GDDa3">WC!#REF!</definedName>
    <definedName name="GDDpd" localSheetId="22">PH!#REF!</definedName>
    <definedName name="GDDpd">PH!#REF!</definedName>
    <definedName name="Geog11" localSheetId="22">AM!#REF!</definedName>
    <definedName name="Geog11">AM!#REF!</definedName>
    <definedName name="GeogPD" localSheetId="22">PH!#REF!</definedName>
    <definedName name="GeogPD">PH!#REF!</definedName>
    <definedName name="Geograph14" localSheetId="22">SBRM!#REF!</definedName>
    <definedName name="Geograph14">SBRM!#REF!</definedName>
    <definedName name="Geography12" localSheetId="22">#REF!</definedName>
    <definedName name="Geography12">#REF!</definedName>
    <definedName name="Geography14" localSheetId="22">SBRM!#REF!</definedName>
    <definedName name="Geography14">SBRM!#REF!</definedName>
    <definedName name="GeogS" localSheetId="22">#REF!</definedName>
    <definedName name="GeogS">#REF!</definedName>
    <definedName name="girreg0" localSheetId="22">#REF!</definedName>
    <definedName name="girreg0" localSheetId="2">[1]POL!$G$72</definedName>
    <definedName name="Girreg1" localSheetId="2">[1]WS!$G$63</definedName>
    <definedName name="Girreg1">WS!$G$27</definedName>
    <definedName name="Girreg11" localSheetId="2">[1]AM!$G$104</definedName>
    <definedName name="Girreg11">AM!$G$44</definedName>
    <definedName name="Girreg14" localSheetId="22">SBRM!#REF!</definedName>
    <definedName name="Girreg14" localSheetId="2">[1]SBM!$G$72</definedName>
    <definedName name="Girreg2" localSheetId="2">[1]SR!$G$61</definedName>
    <definedName name="Girreg2">SR!$G$12</definedName>
    <definedName name="Girreg3" localSheetId="2">[1]PR!$G$91</definedName>
    <definedName name="Girreg3">PR!$G$20</definedName>
    <definedName name="Girreg4" localSheetId="2">[1]NR!$G$92</definedName>
    <definedName name="Girreg4">NR!$G$37</definedName>
    <definedName name="Girreg5" localSheetId="22">#REF!</definedName>
    <definedName name="Girreg5" localSheetId="2">[1]CS!$G$117</definedName>
    <definedName name="Girreg6" localSheetId="22">OE!#REF!</definedName>
    <definedName name="Girreg6" localSheetId="2">[1]OE!$G$101</definedName>
    <definedName name="Girreg8" localSheetId="2">[1]INV!$G$111</definedName>
    <definedName name="Girreg8">INV!$G$53</definedName>
    <definedName name="GirregCQ" localSheetId="22">#REF!</definedName>
    <definedName name="GirregCQ">#REF!</definedName>
    <definedName name="GirregPD" localSheetId="2">[1]PD!$G$100</definedName>
    <definedName name="GirregPD">PH!$G$60</definedName>
    <definedName name="Glacier1" localSheetId="22">WS!#REF!</definedName>
    <definedName name="Glacier1">WS!#REF!</definedName>
    <definedName name="Glacier10" localSheetId="22">FH!#REF!</definedName>
    <definedName name="Glacier10">FH!#REF!</definedName>
    <definedName name="Glacier11" localSheetId="22">AM!#REF!</definedName>
    <definedName name="Glacier11">AM!#REF!</definedName>
    <definedName name="Glacier2" localSheetId="22">SR!#REF!</definedName>
    <definedName name="Glacier2">SR!#REF!</definedName>
    <definedName name="glacier2_" localSheetId="22">SFS!#REF!</definedName>
    <definedName name="glacier2_">SFS!#REF!</definedName>
    <definedName name="Glacier3" localSheetId="22">PR!#REF!</definedName>
    <definedName name="Glacier3">PR!#REF!</definedName>
    <definedName name="Glacier5" localSheetId="22">#REF!</definedName>
    <definedName name="Glacier5">#REF!</definedName>
    <definedName name="Glacier6" localSheetId="22">OE!#REF!</definedName>
    <definedName name="Glacier6">OE!#REF!</definedName>
    <definedName name="Glacier7" localSheetId="22">WC!#REF!</definedName>
    <definedName name="Glacier7">WC!#REF!</definedName>
    <definedName name="Glacier7w" localSheetId="22">#REF!</definedName>
    <definedName name="Glacier7w">#REF!</definedName>
    <definedName name="Glacier8" localSheetId="22">INV!#REF!</definedName>
    <definedName name="Glacier8">INV!#REF!</definedName>
    <definedName name="Glacier9" localSheetId="22">#REF!</definedName>
    <definedName name="Glacier9">#REF!</definedName>
    <definedName name="GlacierPD" localSheetId="22">PH!#REF!</definedName>
    <definedName name="GlacierPD">PH!#REF!</definedName>
    <definedName name="Glean20" localSheetId="22">PH!#REF!</definedName>
    <definedName name="Glean20">PH!#REF!</definedName>
    <definedName name="GpA_2" localSheetId="22">SFS!#REF!</definedName>
    <definedName name="GpA_2">SFS!#REF!</definedName>
    <definedName name="GpA7c" localSheetId="22">WC!#REF!</definedName>
    <definedName name="GpA7c">WC!#REF!</definedName>
    <definedName name="GpA7w" localSheetId="22">#REF!</definedName>
    <definedName name="GpA7w">#REF!</definedName>
    <definedName name="GpB_2" localSheetId="22">SFS!#REF!</definedName>
    <definedName name="GpB_2">SFS!#REF!</definedName>
    <definedName name="GpB7c" localSheetId="22">WC!#REF!</definedName>
    <definedName name="GpB7c">WC!#REF!</definedName>
    <definedName name="GpB7w" localSheetId="22">#REF!</definedName>
    <definedName name="GpB7w">#REF!</definedName>
    <definedName name="GpC_2" localSheetId="22">SFS!#REF!</definedName>
    <definedName name="GpC_2">SFS!#REF!</definedName>
    <definedName name="Gradient1" localSheetId="2">[1]WS!$G$67</definedName>
    <definedName name="Gradient1">WS!$G$90</definedName>
    <definedName name="Gradient11" localSheetId="2">[1]AM!$G$108</definedName>
    <definedName name="Gradient11">AM!$G$104</definedName>
    <definedName name="Gradient12" localSheetId="22">#REF!</definedName>
    <definedName name="Gradient12" localSheetId="2">[1]WBF!$G$96</definedName>
    <definedName name="Gradient13" localSheetId="22">FIRE!#REF!</definedName>
    <definedName name="Gradient13" localSheetId="2">[1]WBN!$G$108</definedName>
    <definedName name="Gradient13">WB!$G$125</definedName>
    <definedName name="Gradient2" localSheetId="2">[1]SR!$G$65</definedName>
    <definedName name="Gradient2">SR!$G$80</definedName>
    <definedName name="Gradient3" localSheetId="2">[1]PR!$G$95</definedName>
    <definedName name="Gradient3">PR!$G$98</definedName>
    <definedName name="Gradient4" localSheetId="2">[1]NR!$G$96</definedName>
    <definedName name="Gradient4">NR!$G$121</definedName>
    <definedName name="Gradient5" localSheetId="22">#REF!</definedName>
    <definedName name="Gradient5" localSheetId="2">[1]CS!$G$121</definedName>
    <definedName name="Gradient6" localSheetId="2">[1]OE!$G$105</definedName>
    <definedName name="Gradient6">OE!$G$104</definedName>
    <definedName name="gramin0" localSheetId="22">#REF!</definedName>
    <definedName name="gramin0" localSheetId="2">[1]POL!$G$18</definedName>
    <definedName name="Granite10" localSheetId="22">FH!#REF!</definedName>
    <definedName name="Granite10">FH!#REF!</definedName>
    <definedName name="Granite4" localSheetId="22">NR!#REF!</definedName>
    <definedName name="Granite4">NR!#REF!</definedName>
    <definedName name="Granite5" localSheetId="22">#REF!</definedName>
    <definedName name="Granite5">#REF!</definedName>
    <definedName name="Granite6" localSheetId="22">OE!#REF!</definedName>
    <definedName name="Granite6">OE!#REF!</definedName>
    <definedName name="Granite7" localSheetId="22">INV!#REF!</definedName>
    <definedName name="Granite7">INV!#REF!</definedName>
    <definedName name="GranitePD" localSheetId="22">PH!#REF!</definedName>
    <definedName name="GranitePD">PH!#REF!</definedName>
    <definedName name="GraniteSoilPD" localSheetId="22">PH!#REF!</definedName>
    <definedName name="GraniteSoilPD">PH!#REF!</definedName>
    <definedName name="GrassRem0v" localSheetId="22">#REF!</definedName>
    <definedName name="GrassRem0v">#REF!</definedName>
    <definedName name="GrassRemS" localSheetId="22">#REF!</definedName>
    <definedName name="GrassRemS">#REF!</definedName>
    <definedName name="groundw0" localSheetId="22">#REF!</definedName>
    <definedName name="groundw0" localSheetId="2">[1]POL!#REF!</definedName>
    <definedName name="Groundw1">WS!$G$86</definedName>
    <definedName name="Groundw10">FH!$G$95</definedName>
    <definedName name="GroundW11" localSheetId="2">[1]AM!$G$49</definedName>
    <definedName name="GroundW11">AM!$G$100</definedName>
    <definedName name="Groundw13" localSheetId="22">FIRE!#REF!</definedName>
    <definedName name="Groundw13" localSheetId="2">[1]WBN!#REF!</definedName>
    <definedName name="Groundw2_">SFS!$G$46</definedName>
    <definedName name="Groundw3" localSheetId="22">PR!#REF!</definedName>
    <definedName name="Groundw3">PR!#REF!</definedName>
    <definedName name="Groundw4" localSheetId="2">[1]NR!$G$44</definedName>
    <definedName name="Groundw4">NR!$G$117</definedName>
    <definedName name="GroundW5" localSheetId="22">#REF!</definedName>
    <definedName name="GroundW5" localSheetId="2">[1]CS!$G$53</definedName>
    <definedName name="Groundw6" localSheetId="22">OE!#REF!</definedName>
    <definedName name="Groundw6">OE!#REF!</definedName>
    <definedName name="GroundW8" localSheetId="2">[1]INV!$G$64</definedName>
    <definedName name="Groundw8">INV!$G$131</definedName>
    <definedName name="GroundW9" localSheetId="22">#REF!</definedName>
    <definedName name="GroundW9" localSheetId="2">[1]FA!$G$45</definedName>
    <definedName name="GroundwCooling" localSheetId="22">WC!#REF!</definedName>
    <definedName name="GroundwCooling">WC!#REF!</definedName>
    <definedName name="GroundwDisch" localSheetId="22">SFS!#REF!</definedName>
    <definedName name="GroundwDisch">SFS!#REF!</definedName>
    <definedName name="GroundwLF" localSheetId="22">SFS!#REF!</definedName>
    <definedName name="GroundwLF">SFS!#REF!</definedName>
    <definedName name="GroundwWarming" localSheetId="22">#REF!</definedName>
    <definedName name="GroundwWarming">#REF!</definedName>
    <definedName name="GrowDD">OF!$E$16</definedName>
    <definedName name="GrowthRate" localSheetId="22">#REF!</definedName>
    <definedName name="GrowthRate">#REF!</definedName>
    <definedName name="GT10HA">F!#REF!</definedName>
    <definedName name="Gwater7" localSheetId="2">[1]T!$G$19</definedName>
    <definedName name="Gwater7">WC!$G$53</definedName>
    <definedName name="Gwater7w" localSheetId="22">#REF!</definedName>
    <definedName name="Gwater7w">#REF!</definedName>
    <definedName name="GWDspring">OF!$E$17</definedName>
    <definedName name="GWIN1A">WC!$G$62</definedName>
    <definedName name="GWIN1B" localSheetId="22">WC!#REF!</definedName>
    <definedName name="GWIN1B">WC!#REF!</definedName>
    <definedName name="GWpd">PH!$G$138</definedName>
    <definedName name="GWplantdiv">PH!$G$138</definedName>
    <definedName name="GWRechar" localSheetId="22">OF!#REF!</definedName>
    <definedName name="GWRechar">OF!#REF!</definedName>
    <definedName name="GWrisk1">WS!$G$10</definedName>
    <definedName name="GWrisk4" localSheetId="22">NR!#REF!</definedName>
    <definedName name="GWrisk4" localSheetId="2">[1]NR!$G$139</definedName>
    <definedName name="GWval7" localSheetId="22">WC!#REF!</definedName>
    <definedName name="GWval7" localSheetId="2">[1]T!#REF!</definedName>
    <definedName name="GWvul" localSheetId="22">OF!#REF!</definedName>
    <definedName name="GWvul">OF!#REF!</definedName>
    <definedName name="HabStruc1b" localSheetId="22">FIRE!#REF!</definedName>
    <definedName name="HabStruc1b">WB!#REF!</definedName>
    <definedName name="HabStrucA1a">AM!$G$133</definedName>
    <definedName name="HabStrucA1b">AM!#REF!</definedName>
    <definedName name="HabStrucF1a">FH!$G$122</definedName>
    <definedName name="HabStrucF1b">FH!#REF!</definedName>
    <definedName name="HabStrucI1a">INV!$G$158</definedName>
    <definedName name="HabStrucI1b">INV!#REF!</definedName>
    <definedName name="HabStrucS1a">SBRM!$G$149</definedName>
    <definedName name="HabStrucS1b">SBRM!#REF!</definedName>
    <definedName name="HabStrucW1a" localSheetId="22">FIRE!#REF!</definedName>
    <definedName name="HabStrucW1a">WB!$G$158</definedName>
    <definedName name="HabStrucW1b" localSheetId="22">FIRE!#REF!</definedName>
    <definedName name="HabStrucW1b">WB!#REF!</definedName>
    <definedName name="Hardwd14">SBRM!#REF!</definedName>
    <definedName name="HardwdPD">PH!#REF!</definedName>
    <definedName name="Hardwood8">INV!#REF!</definedName>
    <definedName name="Harvested" localSheetId="22">#REF!</definedName>
    <definedName name="Harvested" localSheetId="2">#REF!</definedName>
    <definedName name="HasWater5" localSheetId="22">#REF!</definedName>
    <definedName name="HasWater5">#REF!</definedName>
    <definedName name="HazPond">WB!$G$149</definedName>
    <definedName name="HazPond13" localSheetId="22">FIRE!#REF!</definedName>
    <definedName name="HazPond13">WB!#REF!</definedName>
    <definedName name="herb2pd" localSheetId="22">PH!#REF!</definedName>
    <definedName name="herb2pd" localSheetId="2">[1]PD!$G$69</definedName>
    <definedName name="herbdcom0" localSheetId="22">#REF!</definedName>
    <definedName name="herbdcom0">#REF!</definedName>
    <definedName name="herbdiv0" localSheetId="22">#REF!</definedName>
    <definedName name="herbdiv0">#REF!</definedName>
    <definedName name="HerbDiv8">INV!$G$57</definedName>
    <definedName name="HerbDom1" localSheetId="22">#REF!</definedName>
    <definedName name="HerbDom1">#REF!</definedName>
    <definedName name="HerbDom14">SBRM!$G$83</definedName>
    <definedName name="herbdom15">PH!$G$82</definedName>
    <definedName name="HerbDom2" localSheetId="22">#REF!</definedName>
    <definedName name="HerbDom2" localSheetId="2">[1]Sen!$G$68</definedName>
    <definedName name="herblt50" localSheetId="22">#REF!</definedName>
    <definedName name="herblt50">#REF!</definedName>
    <definedName name="herbpct0" localSheetId="22">#REF!</definedName>
    <definedName name="herbpct0">#REF!</definedName>
    <definedName name="herbrare0" localSheetId="22">#REF!</definedName>
    <definedName name="herbrare0" localSheetId="2">[1]POL!$G$31</definedName>
    <definedName name="herbsens0" localSheetId="22">#REF!</definedName>
    <definedName name="herbsens0" localSheetId="2">[1]POL!$G$22</definedName>
    <definedName name="HerbSens2_S" localSheetId="22">#REF!</definedName>
    <definedName name="HerbSens2_S" localSheetId="2">[1]Sen!$G$71</definedName>
    <definedName name="HerbUbiq1" localSheetId="22">#REF!</definedName>
    <definedName name="HerbUbiq1">#REF!</definedName>
    <definedName name="HerbWood15">PH!$G$37</definedName>
    <definedName name="HerbWoodMix11">AM!$G$34</definedName>
    <definedName name="HerbWoodMix14">SBRM!$G$52</definedName>
    <definedName name="HerbWoodMix4">NR!$G$25</definedName>
    <definedName name="HistAccum5" localSheetId="22">#REF!</definedName>
    <definedName name="HistAccum5">#REF!</definedName>
    <definedName name="HistAccum6" localSheetId="22">OE!#REF!</definedName>
    <definedName name="HistAccum6">OE!#REF!</definedName>
    <definedName name="HistDry12" localSheetId="22">#REF!</definedName>
    <definedName name="HistDry12" localSheetId="2">[1]WBF!$G$18</definedName>
    <definedName name="HistDry13" localSheetId="22">FIRE!#REF!</definedName>
    <definedName name="HistDry13" localSheetId="2">[1]WBN!$G$10</definedName>
    <definedName name="HistDry3" localSheetId="22">PR!#REF!</definedName>
    <definedName name="HistDry3">PR!#REF!</definedName>
    <definedName name="HistDry4" localSheetId="22">NR!#REF!</definedName>
    <definedName name="HistDry4" localSheetId="2">[1]NR!#REF!</definedName>
    <definedName name="HistDry5" localSheetId="22">#REF!</definedName>
    <definedName name="HistDry5" localSheetId="2">[1]CS!$G$15</definedName>
    <definedName name="HistList">OF!#REF!</definedName>
    <definedName name="HistWet11" localSheetId="22">AM!#REF!</definedName>
    <definedName name="HistWet11" localSheetId="2">[1]AM!#REF!</definedName>
    <definedName name="HistWet12" localSheetId="22">#REF!</definedName>
    <definedName name="HistWet12" localSheetId="2">[1]WBF!#REF!</definedName>
    <definedName name="HistWet13" localSheetId="22">FIRE!#REF!</definedName>
    <definedName name="HistWet13" localSheetId="2">[1]WBN!#REF!</definedName>
    <definedName name="HistWet3" localSheetId="22">PR!#REF!</definedName>
    <definedName name="HistWet3" localSheetId="2">[1]PR!#REF!</definedName>
    <definedName name="HistWet4" localSheetId="22">NR!#REF!</definedName>
    <definedName name="HistWet4" localSheetId="2">[1]NR!#REF!</definedName>
    <definedName name="HistWet5" localSheetId="22">#REF!</definedName>
    <definedName name="HistWet5" localSheetId="2">[1]CS!#REF!</definedName>
    <definedName name="HotSpring7" localSheetId="22">WC!#REF!</definedName>
    <definedName name="HotSpring7" localSheetId="2">[1]T!$D$4</definedName>
    <definedName name="Hotspring9" localSheetId="22">#REF!</definedName>
    <definedName name="Hotspring9" localSheetId="2">[1]FA!$D$5</definedName>
    <definedName name="HtDiv12" localSheetId="22">#REF!</definedName>
    <definedName name="HtDiv12" localSheetId="2">[1]WBF!#REF!</definedName>
    <definedName name="HtDiv13" localSheetId="22">FIRE!#REF!</definedName>
    <definedName name="HtDiv13" localSheetId="2">[1]WBN!$G$105</definedName>
    <definedName name="HtDivPD" localSheetId="22">PH!#REF!</definedName>
    <definedName name="HtDivPD" localSheetId="2">[1]PD!$G$92</definedName>
    <definedName name="htunif0" localSheetId="22">#REF!</definedName>
    <definedName name="htunif0" localSheetId="2">[1]POL!$G$61</definedName>
    <definedName name="HtUnif14" localSheetId="22">SBRM!#REF!</definedName>
    <definedName name="HtUnif14">SBRM!#REF!</definedName>
    <definedName name="HUCbigW12" localSheetId="22">#REF!</definedName>
    <definedName name="HUCbigW12" localSheetId="2">[1]WBF!$G$164</definedName>
    <definedName name="HUCbigW13" localSheetId="22">FIRE!#REF!</definedName>
    <definedName name="HUCbigW13" localSheetId="2">[1]WBN!$G$192</definedName>
    <definedName name="HUCbigW14" localSheetId="22">SBRM!#REF!</definedName>
    <definedName name="HUCbigW14">SBRM!#REF!</definedName>
    <definedName name="HUCdiv11" localSheetId="22">AM!#REF!</definedName>
    <definedName name="HUCdiv11" localSheetId="2">[1]AM!$G$214</definedName>
    <definedName name="HUCdiv12" localSheetId="22">#REF!</definedName>
    <definedName name="HUCdiv12" localSheetId="2">[1]WBF!$G$152</definedName>
    <definedName name="HUCdiv13" localSheetId="22">FIRE!#REF!</definedName>
    <definedName name="HUCdiv13">WB!#REF!</definedName>
    <definedName name="HUCdiv14" localSheetId="22">SBRM!#REF!</definedName>
    <definedName name="HUCdiv14" localSheetId="2">[1]SBM!$G$180</definedName>
    <definedName name="Hydro10" localSheetId="22">FH!#REF!</definedName>
    <definedName name="Hydro10">FH!#REF!</definedName>
    <definedName name="Hydro11" localSheetId="22">AM!#REF!</definedName>
    <definedName name="Hydro11">AM!#REF!</definedName>
    <definedName name="Hydro12" localSheetId="22">#REF!</definedName>
    <definedName name="Hydro12">#REF!</definedName>
    <definedName name="Hydro13" localSheetId="22">FIRE!#REF!</definedName>
    <definedName name="Hydro13">WB!#REF!</definedName>
    <definedName name="HydroConn_C" localSheetId="22">#REF!</definedName>
    <definedName name="HydroConn_C" localSheetId="2">[1]CQ!$G$3</definedName>
    <definedName name="HydroConn2" localSheetId="22">#REF!</definedName>
    <definedName name="HydroConn2" localSheetId="2">#REF!</definedName>
    <definedName name="Hydropd8" localSheetId="22">INV!#REF!</definedName>
    <definedName name="Hydropd8">INV!#REF!</definedName>
    <definedName name="Hydropd9" localSheetId="22">#REF!</definedName>
    <definedName name="Hydropd9">#REF!</definedName>
    <definedName name="HydroStress" localSheetId="22">#REF!</definedName>
    <definedName name="HydroStress">#REF!</definedName>
    <definedName name="IBA" localSheetId="22">OF!#REF!</definedName>
    <definedName name="IBA">OF!#REF!</definedName>
    <definedName name="IBA12a" localSheetId="22">#REF!</definedName>
    <definedName name="IBA12a">#REF!</definedName>
    <definedName name="IBirdArea">OF!$E$18</definedName>
    <definedName name="Ice2_" localSheetId="22">SFS!#REF!</definedName>
    <definedName name="Ice2_">SFS!#REF!</definedName>
    <definedName name="IceDur2" localSheetId="22">SFS!#REF!</definedName>
    <definedName name="IceDur2">SFS!#REF!</definedName>
    <definedName name="IceDura10" localSheetId="22">FH!#REF!</definedName>
    <definedName name="IceDura10">FH!#REF!</definedName>
    <definedName name="IFDRY2" localSheetId="22">SR!#REF!</definedName>
    <definedName name="IFDRY2">SR!#REF!</definedName>
    <definedName name="IFNOOUT2" localSheetId="22">SR!#REF!</definedName>
    <definedName name="IFNOOUT2">SR!#REF!</definedName>
    <definedName name="IFOUT2" localSheetId="22">SR!#REF!</definedName>
    <definedName name="IFOUT2">SR!#REF!</definedName>
    <definedName name="imperv2_" localSheetId="22">SFS!#REF!</definedName>
    <definedName name="imperv2_">SFS!#REF!</definedName>
    <definedName name="Imperv4" localSheetId="22">NR!#REF!</definedName>
    <definedName name="Imperv4" localSheetId="2">[1]NR!$G$116</definedName>
    <definedName name="Imperv7" localSheetId="22">WC!#REF!</definedName>
    <definedName name="Imperv7">WC!#REF!</definedName>
    <definedName name="Imperv7w" localSheetId="22">#REF!</definedName>
    <definedName name="Imperv7w">#REF!</definedName>
    <definedName name="ImpervCA" localSheetId="22">INV!#REF!</definedName>
    <definedName name="ImpervCA">INV!#REF!</definedName>
    <definedName name="ImpervCA3" localSheetId="22">PR!#REF!</definedName>
    <definedName name="ImpervCA3" localSheetId="2">[1]PR!$G$116</definedName>
    <definedName name="ImpervCA9" localSheetId="22">#REF!</definedName>
    <definedName name="ImpervCA9">#REF!</definedName>
    <definedName name="ImpervPct" localSheetId="22">#REF!</definedName>
    <definedName name="ImpervPct" localSheetId="2">#REF!</definedName>
    <definedName name="ImpervPctSS" localSheetId="22">SR!#REF!</definedName>
    <definedName name="ImpervPctSS" localSheetId="2">[1]SR!$G$90</definedName>
    <definedName name="InBigRemnant">OF!$E$17</definedName>
    <definedName name="Inclus11" localSheetId="22">AM!#REF!</definedName>
    <definedName name="Inclus11" localSheetId="2">[1]AM!$B$98</definedName>
    <definedName name="Inclus11a" localSheetId="22">AM!#REF!</definedName>
    <definedName name="Inclus11a">AM!#REF!</definedName>
    <definedName name="Inclus14" localSheetId="2">[1]SBM!$G$66</definedName>
    <definedName name="Inclus14">SBRM!$G$67</definedName>
    <definedName name="Inclus4" localSheetId="2">[1]NR!$G$84</definedName>
    <definedName name="Inclus4">NR!$G$41</definedName>
    <definedName name="INFILT1a">WS!$G$114</definedName>
    <definedName name="Infilt1b">WS!#REF!</definedName>
    <definedName name="inflo" localSheetId="22">#REF!</definedName>
    <definedName name="inflo">#REF!</definedName>
    <definedName name="Inflo2" localSheetId="22">SR!#REF!</definedName>
    <definedName name="Inflo2">SR!#REF!</definedName>
    <definedName name="Inflo3" localSheetId="22">PR!#REF!</definedName>
    <definedName name="Inflo3">PR!#REF!</definedName>
    <definedName name="Inflo4" localSheetId="22">NR!#REF!</definedName>
    <definedName name="Inflo4">NR!#REF!</definedName>
    <definedName name="InfloPD">PH!$G$137</definedName>
    <definedName name="Inflow" localSheetId="22">#REF!</definedName>
    <definedName name="Inflow" localSheetId="2">[1]STR!$G$10</definedName>
    <definedName name="Inflow10" localSheetId="22">FH!#REF!</definedName>
    <definedName name="Inflow10">FH!#REF!</definedName>
    <definedName name="Inflows">F!$D$226</definedName>
    <definedName name="InflowW" localSheetId="22">#REF!</definedName>
    <definedName name="InflowW">#REF!</definedName>
    <definedName name="InOut" localSheetId="22">F!#REF!</definedName>
    <definedName name="InOut">F!#REF!</definedName>
    <definedName name="InTemp7" localSheetId="22">#REF!</definedName>
    <definedName name="InTemp7">#REF!</definedName>
    <definedName name="Interann10" localSheetId="22">FH!#REF!</definedName>
    <definedName name="Interann10">FH!#REF!</definedName>
    <definedName name="Interann6" localSheetId="22">OE!#REF!</definedName>
    <definedName name="Interann6" localSheetId="2">[1]OE!$G$16</definedName>
    <definedName name="Interann8" localSheetId="22">INV!#REF!</definedName>
    <definedName name="Interann8" localSheetId="2">[1]INV!$G$10</definedName>
    <definedName name="interannPD" localSheetId="22">PH!#REF!</definedName>
    <definedName name="interannPD" localSheetId="2">[1]PD!$G$28</definedName>
    <definedName name="Interannual4" localSheetId="22">NR!#REF!</definedName>
    <definedName name="Interannual4" localSheetId="2">[1]NR!$G$4</definedName>
    <definedName name="Intercep4" localSheetId="22">NR!#REF!</definedName>
    <definedName name="Intercep4">NR!#REF!</definedName>
    <definedName name="IntercepDry3" localSheetId="22">PR!#REF!</definedName>
    <definedName name="IntercepDry3">PR!#REF!</definedName>
    <definedName name="IntercepWet3" localSheetId="22">PR!#REF!</definedName>
    <definedName name="IntercepWet3">PR!#REF!</definedName>
    <definedName name="Interspers10" localSheetId="2">[1]FR!$G$58</definedName>
    <definedName name="Interspers10">FH!$G$59</definedName>
    <definedName name="Interspers11" localSheetId="2">[1]AM!$G$48</definedName>
    <definedName name="Interspers11">AM!$G$81</definedName>
    <definedName name="Interspers12" localSheetId="22">#REF!</definedName>
    <definedName name="Interspers12" localSheetId="2">[1]WBF!$G$54</definedName>
    <definedName name="Interspers13" localSheetId="22">FIRE!#REF!</definedName>
    <definedName name="Interspers13" localSheetId="2">[1]WBN!$G$49</definedName>
    <definedName name="Interspers13">WB!$G$110</definedName>
    <definedName name="Interspers14">SBRM!$G$113</definedName>
    <definedName name="Interspers2" localSheetId="2">[1]SR!#REF!</definedName>
    <definedName name="Interspers2">SR!$G$60</definedName>
    <definedName name="Interspers3" localSheetId="2">[1]PR!#REF!</definedName>
    <definedName name="Interspers3">PR!$G$71</definedName>
    <definedName name="Interspers4" localSheetId="2">[1]NR!$G$43</definedName>
    <definedName name="Interspers4">NR!$G$97</definedName>
    <definedName name="Interspers5" localSheetId="22">#REF!</definedName>
    <definedName name="Interspers5" localSheetId="2">[1]CS!#REF!</definedName>
    <definedName name="Interspers6" localSheetId="2">[1]OE!$G$54</definedName>
    <definedName name="Interspers6">OE!$G$84</definedName>
    <definedName name="Interspers8" localSheetId="2">[1]INV!$G$63</definedName>
    <definedName name="Interspers8">INV!$G$102</definedName>
    <definedName name="Interspers9" localSheetId="22">#REF!</definedName>
    <definedName name="Interspers9" localSheetId="2">[1]FA!$G$44</definedName>
    <definedName name="InterspersPD">PH!$G$129</definedName>
    <definedName name="Invasives">PH!$G$85</definedName>
    <definedName name="Invest" localSheetId="22">HU!#REF!</definedName>
    <definedName name="Invest">HU!#REF!</definedName>
    <definedName name="Invest1a" localSheetId="22">HU!#REF!</definedName>
    <definedName name="Invest1a">HU!#REF!</definedName>
    <definedName name="Invest1b" localSheetId="22">HU!#REF!</definedName>
    <definedName name="Invest1b">HU!#REF!</definedName>
    <definedName name="Invest21">HU!$G$61</definedName>
    <definedName name="InvScore2_" localSheetId="22">SFS!#REF!</definedName>
    <definedName name="InvScore2_">SFS!#REF!</definedName>
    <definedName name="Island13" localSheetId="22">FIRE!#REF!</definedName>
    <definedName name="Island13">WB!$G$114</definedName>
    <definedName name="Islands11" localSheetId="22">AM!#REF!</definedName>
    <definedName name="Islands11" localSheetId="2">[1]AM!$G$70</definedName>
    <definedName name="Islands12" localSheetId="22">#REF!</definedName>
    <definedName name="Islands12">#REF!</definedName>
    <definedName name="Islands13" localSheetId="22">FIRE!#REF!</definedName>
    <definedName name="Islands13" localSheetId="2">[1]WBN!$G$69</definedName>
    <definedName name="Iso3Wet" localSheetId="22">PR!#REF!</definedName>
    <definedName name="Iso3Wet">PR!#REF!</definedName>
    <definedName name="IsoDry_S" localSheetId="22">#REF!</definedName>
    <definedName name="IsoDry_S" localSheetId="2">[1]Sen!$G$5</definedName>
    <definedName name="IsoDry1" localSheetId="2">[1]WS!$G$29</definedName>
    <definedName name="IsoDry1">WS!$G$49</definedName>
    <definedName name="ISOdry10" localSheetId="2">[1]FR!$G$37</definedName>
    <definedName name="ISOdry10">FH!$G$45</definedName>
    <definedName name="ISOdry11" localSheetId="22">AM!#REF!</definedName>
    <definedName name="ISOdry11" localSheetId="2">[1]AM!$G$20</definedName>
    <definedName name="IsoDry12" localSheetId="22">#REF!</definedName>
    <definedName name="IsoDry12" localSheetId="2">[1]WBF!#REF!</definedName>
    <definedName name="ISOdry13" localSheetId="22">FIRE!#REF!</definedName>
    <definedName name="ISOdry13" localSheetId="2">[1]WBN!$G$23</definedName>
    <definedName name="ISOdry13">WB!$G$83</definedName>
    <definedName name="IsoDry2" localSheetId="22">SR!#REF!</definedName>
    <definedName name="IsoDry2" localSheetId="2">[1]SR!$G$17</definedName>
    <definedName name="ISOdry3" localSheetId="22">PR!#REF!</definedName>
    <definedName name="ISOdry3" localSheetId="2">[1]PR!$G$34</definedName>
    <definedName name="ISOdry4" localSheetId="22">NR!#REF!</definedName>
    <definedName name="ISOdry4" localSheetId="2">[1]NR!$G$24</definedName>
    <definedName name="ISOdry6" localSheetId="22">OE!#REF!</definedName>
    <definedName name="ISOdry6" localSheetId="2">[1]OE!$G$29</definedName>
    <definedName name="ISOdry7" localSheetId="2">[1]T!$G$6</definedName>
    <definedName name="ISOdry7">WC!$G$33</definedName>
    <definedName name="ISOdry7w" localSheetId="22">#REF!</definedName>
    <definedName name="ISOdry7w">#REF!</definedName>
    <definedName name="IsoDry8" localSheetId="22">INV!#REF!</definedName>
    <definedName name="IsoDry8" localSheetId="2">[1]INV!$G$30</definedName>
    <definedName name="IsoWet1" localSheetId="22">WS!#REF!</definedName>
    <definedName name="IsoWet1" localSheetId="2">[1]WS!$G$15</definedName>
    <definedName name="ISOwet10" localSheetId="22">FH!#REF!</definedName>
    <definedName name="ISOwet10" localSheetId="2">[1]FR!$G$23</definedName>
    <definedName name="ISOwet11" localSheetId="2">[1]AM!$G$6</definedName>
    <definedName name="ISOwet11">AM!$G$60</definedName>
    <definedName name="ISOwet12" localSheetId="22">#REF!</definedName>
    <definedName name="ISOwet12" localSheetId="2">[1]WBF!$G$37</definedName>
    <definedName name="ISOwet13" localSheetId="22">FIRE!#REF!</definedName>
    <definedName name="ISOwet13" localSheetId="2">[1]WBN!#REF!</definedName>
    <definedName name="IsoWet2">SR!$G$34</definedName>
    <definedName name="IsoWet2a">SR!$G$34</definedName>
    <definedName name="IsoWet2s">SR!$G$34</definedName>
    <definedName name="IsoWet3p" localSheetId="22">PR!#REF!</definedName>
    <definedName name="IsoWet3p">PR!#REF!</definedName>
    <definedName name="ISOwet4" localSheetId="22">NR!#REF!</definedName>
    <definedName name="ISOwet4" localSheetId="2">[1]NR!$G$10</definedName>
    <definedName name="ISOwet5" localSheetId="22">#REF!</definedName>
    <definedName name="ISOwet5" localSheetId="2">[1]CS!$G$21</definedName>
    <definedName name="ISOwet6" localSheetId="22">OE!#REF!</definedName>
    <definedName name="ISOwet6" localSheetId="2">[1]OE!$G$22</definedName>
    <definedName name="IsoWet8" localSheetId="22">INV!#REF!</definedName>
    <definedName name="IsoWet8" localSheetId="2">[1]INV!$G$16</definedName>
    <definedName name="ISOwet9" localSheetId="22">#REF!</definedName>
    <definedName name="ISOwet9" localSheetId="2">[1]FA!$G$21</definedName>
    <definedName name="Karst10" localSheetId="22">FH!#REF!</definedName>
    <definedName name="Karst10">FH!#REF!</definedName>
    <definedName name="Karst10a" localSheetId="22">FH!#REF!</definedName>
    <definedName name="Karst10a">FH!#REF!</definedName>
    <definedName name="Karst11" localSheetId="22">AM!#REF!</definedName>
    <definedName name="Karst11">AM!#REF!</definedName>
    <definedName name="Karst16" localSheetId="22">PH!#REF!</definedName>
    <definedName name="Karst16">PH!#REF!</definedName>
    <definedName name="Karst16a" localSheetId="22">PH!#REF!</definedName>
    <definedName name="Karst16a">PH!#REF!</definedName>
    <definedName name="Karst5a" localSheetId="22">#REF!</definedName>
    <definedName name="Karst5a">#REF!</definedName>
    <definedName name="Karst6" localSheetId="22">OE!#REF!</definedName>
    <definedName name="Karst6">OE!#REF!</definedName>
    <definedName name="Karst6a" localSheetId="22">OE!#REF!</definedName>
    <definedName name="Karst6a">OE!#REF!</definedName>
    <definedName name="Karst7a" localSheetId="22">INV!#REF!</definedName>
    <definedName name="Karst7a">INV!#REF!</definedName>
    <definedName name="Karst8" localSheetId="22">INV!#REF!</definedName>
    <definedName name="Karst8">INV!#REF!</definedName>
    <definedName name="Karst9" localSheetId="22">#REF!</definedName>
    <definedName name="Karst9">#REF!</definedName>
    <definedName name="Karst9a" localSheetId="22">#REF!</definedName>
    <definedName name="Karst9a">#REF!</definedName>
    <definedName name="Karstt5" localSheetId="22">#REF!</definedName>
    <definedName name="Karstt5">#REF!</definedName>
    <definedName name="LabileC1a">OE!$G$126</definedName>
    <definedName name="LabileC1b">OE!#REF!</definedName>
    <definedName name="Lacus7" localSheetId="22">WC!#REF!</definedName>
    <definedName name="Lacus7">WC!#REF!</definedName>
    <definedName name="Lacus9" localSheetId="22">#REF!</definedName>
    <definedName name="Lacus9">#REF!</definedName>
    <definedName name="Lacust10" localSheetId="22">FH!#REF!</definedName>
    <definedName name="Lacust10" localSheetId="2">[1]FR!#REF!</definedName>
    <definedName name="Lacust13" localSheetId="22">FIRE!#REF!</definedName>
    <definedName name="Lacust13" localSheetId="2">[1]WBN!$D$3</definedName>
    <definedName name="Lake">OF!$E$19</definedName>
    <definedName name="Lake10">FH!$G$34</definedName>
    <definedName name="Lake12" localSheetId="22">#REF!</definedName>
    <definedName name="Lake12">#REF!</definedName>
    <definedName name="Lake13" localSheetId="22">FIRE!#REF!</definedName>
    <definedName name="Lake13">WB!$G$66</definedName>
    <definedName name="Lake21">HU!$G$11</definedName>
    <definedName name="Lake3">PR!$G$44</definedName>
    <definedName name="Lake9" localSheetId="22">#REF!</definedName>
    <definedName name="Lake9">#REF!</definedName>
    <definedName name="LakeNear13" localSheetId="22">FIRE!#REF!</definedName>
    <definedName name="LakeNear13" localSheetId="2">[1]WBN!$D$163</definedName>
    <definedName name="LakeProx_S" localSheetId="22">#REF!</definedName>
    <definedName name="LakeProx_S" localSheetId="2">[1]Sen!$G$153</definedName>
    <definedName name="LakeProx13" localSheetId="22">FIRE!#REF!</definedName>
    <definedName name="LakeProx13" localSheetId="2">[1]WBN!$G$162</definedName>
    <definedName name="LargeWetVeg">OF!$D$50</definedName>
    <definedName name="LCdivers" localSheetId="22">OF!#REF!</definedName>
    <definedName name="LCdivers">OF!#REF!</definedName>
    <definedName name="LGIndex">OF!#REF!</definedName>
    <definedName name="Lichen14">SBRM!#REF!</definedName>
    <definedName name="Linear">OF!$E$57</definedName>
    <definedName name="ListSpecies" localSheetId="22">OF!#REF!</definedName>
    <definedName name="ListSpecies">OF!#REF!</definedName>
    <definedName name="LiveStore" localSheetId="22">WS!#REF!</definedName>
    <definedName name="LiveStore">WS!#REF!</definedName>
    <definedName name="LiveStore2" localSheetId="22">SR!#REF!</definedName>
    <definedName name="LiveStore2">SR!#REF!</definedName>
    <definedName name="lomarsh0" localSheetId="22">#REF!</definedName>
    <definedName name="lomarsh0" localSheetId="2">[1]POL!$G$3</definedName>
    <definedName name="LoMarsh2" localSheetId="22">SR!#REF!</definedName>
    <definedName name="LoMarsh2" localSheetId="2">[1]SR!$G$117</definedName>
    <definedName name="LoMarsh6" localSheetId="22">OE!#REF!</definedName>
    <definedName name="LoMarsh6" localSheetId="2">[1]OE!$G$10</definedName>
    <definedName name="LoMarsh8" localSheetId="22">INV!#REF!</definedName>
    <definedName name="LoMarsh8" localSheetId="2">[1]INV!$G$4</definedName>
    <definedName name="LowMarsh1" localSheetId="22">WS!#REF!</definedName>
    <definedName name="LowMarsh1" localSheetId="2">[1]WS!$G$8</definedName>
    <definedName name="LowMarsh10" localSheetId="22">FH!#REF!</definedName>
    <definedName name="LowMarsh10">FH!#REF!</definedName>
    <definedName name="LowMarsh12" localSheetId="22">#REF!</definedName>
    <definedName name="LowMarsh12" localSheetId="2">[1]WBF!$G$6</definedName>
    <definedName name="LowMarsh1all" localSheetId="22">WS!#REF!</definedName>
    <definedName name="LowMarsh1all" localSheetId="2">[1]WS!$D$9</definedName>
    <definedName name="LowMarsh1gt50" localSheetId="22">WS!#REF!</definedName>
    <definedName name="LowMarsh1gt50" localSheetId="2">[1]WS!$D$10</definedName>
    <definedName name="LowMarsh9" localSheetId="22">#REF!</definedName>
    <definedName name="LowMarsh9" localSheetId="2">[1]FA!$G$8</definedName>
    <definedName name="LowMarshAll14" localSheetId="22">SBRM!#REF!</definedName>
    <definedName name="LowMarshAll14" localSheetId="2">[1]SBM!$D$4</definedName>
    <definedName name="LowMarshPct14" localSheetId="22">SBRM!#REF!</definedName>
    <definedName name="LowMarshPct14" localSheetId="2">[1]SBM!$G$3</definedName>
    <definedName name="LowMarshPD" localSheetId="22">PH!#REF!</definedName>
    <definedName name="LowMarshPD" localSheetId="2">[1]PD!$G$3</definedName>
    <definedName name="Lscape" localSheetId="22">PH!#REF!</definedName>
    <definedName name="Lscape">PH!#REF!</definedName>
    <definedName name="Lscape11" localSheetId="22">AM!#REF!</definedName>
    <definedName name="Lscape11">AM!#REF!</definedName>
    <definedName name="Lscape12" localSheetId="22">#REF!</definedName>
    <definedName name="Lscape12">#REF!</definedName>
    <definedName name="Lscape13" localSheetId="22">FIRE!#REF!</definedName>
    <definedName name="Lscape13">WB!#REF!</definedName>
    <definedName name="Lscape14" localSheetId="22">SBRM!#REF!</definedName>
    <definedName name="Lscape14">SBRM!#REF!</definedName>
    <definedName name="Lscape8" localSheetId="22">INV!#REF!</definedName>
    <definedName name="Lscape8">INV!#REF!</definedName>
    <definedName name="Lscape9" localSheetId="22">#REF!</definedName>
    <definedName name="Lscape9">#REF!</definedName>
    <definedName name="LscapeA1a" localSheetId="22">AM!#REF!</definedName>
    <definedName name="LscapeA1a">AM!#REF!</definedName>
    <definedName name="LscapeA1b" localSheetId="22">AM!#REF!</definedName>
    <definedName name="LscapeA1b">AM!#REF!</definedName>
    <definedName name="LscapeAM">AM!$G$139</definedName>
    <definedName name="LscapeClassRichW" localSheetId="22">FIRE!#REF!</definedName>
    <definedName name="LscapeClassRichW">WB!#REF!</definedName>
    <definedName name="LscapeI1a" localSheetId="22">INV!#REF!</definedName>
    <definedName name="LscapeI1a">INV!#REF!</definedName>
    <definedName name="LscapeI1b" localSheetId="22">INV!#REF!</definedName>
    <definedName name="LscapeI1b">INV!#REF!</definedName>
    <definedName name="LscapePD" localSheetId="22">PH!#REF!</definedName>
    <definedName name="LscapePD">PH!#REF!</definedName>
    <definedName name="LscapeS1a">SBRM!$G$155</definedName>
    <definedName name="LscapeS1b" localSheetId="22">SBRM!#REF!</definedName>
    <definedName name="LscapeS1b">SBRM!#REF!</definedName>
    <definedName name="LscapeW1a" localSheetId="22">FIRE!#REF!</definedName>
    <definedName name="LscapeW1a">WB!$G$164</definedName>
    <definedName name="LscapeW1b" localSheetId="22">FIRE!#REF!</definedName>
    <definedName name="LscapeW1b">WB!#REF!</definedName>
    <definedName name="Mainland14" localSheetId="22">SBRM!#REF!</definedName>
    <definedName name="Mainland14">SBRM!#REF!</definedName>
    <definedName name="MarshFenSwamp">OF!#REF!</definedName>
    <definedName name="MarshPct">OF!$E$20</definedName>
    <definedName name="MarshPct5K" localSheetId="22">OF!#REF!</definedName>
    <definedName name="MarshPct5K">OF!#REF!</definedName>
    <definedName name="MarshUniq">OF!$E$21</definedName>
    <definedName name="MatureF" localSheetId="22">#REF!</definedName>
    <definedName name="MatureF" localSheetId="2">[1]Sen!$D$4</definedName>
    <definedName name="MaxFluc2" localSheetId="22">SR!#REF!</definedName>
    <definedName name="MaxFluc2" localSheetId="2">[1]SR!$G$130</definedName>
    <definedName name="Mesosaline11" localSheetId="22">AM!#REF!</definedName>
    <definedName name="Mesosaline11" localSheetId="2">[1]AM!#REF!</definedName>
    <definedName name="MethLimit5" localSheetId="22">#REF!</definedName>
    <definedName name="MethLimit5">#REF!</definedName>
    <definedName name="MinSIze13" localSheetId="22">FIRE!#REF!</definedName>
    <definedName name="MinSIze13" localSheetId="2">[1]WBN!$D$73</definedName>
    <definedName name="MitigaSite" localSheetId="22">HU!#REF!</definedName>
    <definedName name="MitigaSite" localSheetId="2">[1]PU!$G$24</definedName>
    <definedName name="MitSite" localSheetId="22">#REF!</definedName>
    <definedName name="MitSite" localSheetId="2">#REF!</definedName>
    <definedName name="MixHerbWood">OF!#REF!</definedName>
    <definedName name="MixWaterVeg">OF!#REF!</definedName>
    <definedName name="Moss6">OE!$G$27</definedName>
    <definedName name="Moss8">INV!$G$47</definedName>
    <definedName name="MossCov5" localSheetId="22">#REF!</definedName>
    <definedName name="MossCov5">#REF!</definedName>
    <definedName name="MossPD">PH!#REF!</definedName>
    <definedName name="Mudflat12" localSheetId="22">#REF!</definedName>
    <definedName name="Mudflat12" localSheetId="2">[1]WBF!$G$65</definedName>
    <definedName name="NatBuff0" localSheetId="22">#REF!</definedName>
    <definedName name="NatBuff0">#REF!</definedName>
    <definedName name="NatCApct3" localSheetId="22">PR!#REF!</definedName>
    <definedName name="NatCApct3" localSheetId="2">[1]PR!$G$150</definedName>
    <definedName name="NatCov1k">OF!$E$22</definedName>
    <definedName name="NatCov2mi11" localSheetId="22">AM!#REF!</definedName>
    <definedName name="NatCov2mi11">AM!#REF!</definedName>
    <definedName name="NatCov5k" localSheetId="22">OF!#REF!</definedName>
    <definedName name="NatCov5k">OF!#REF!</definedName>
    <definedName name="NatGrassDis0" localSheetId="22">#REF!</definedName>
    <definedName name="NatGrassDis0">#REF!</definedName>
    <definedName name="natLCpct0" localSheetId="22">#REF!</definedName>
    <definedName name="natLCpct0">#REF!</definedName>
    <definedName name="NatPctScape8" localSheetId="22">INV!#REF!</definedName>
    <definedName name="NatPctScape8" localSheetId="2">[1]INV!#REF!</definedName>
    <definedName name="natvacres0" localSheetId="22">#REF!</definedName>
    <definedName name="natvacres0" localSheetId="2">[1]POL!$G$89</definedName>
    <definedName name="natveg0" localSheetId="22">#REF!</definedName>
    <definedName name="natveg0" localSheetId="2">[1]POL!$G$77</definedName>
    <definedName name="NatVegBuffPD" localSheetId="22">PH!#REF!</definedName>
    <definedName name="NatVegBuffPD" localSheetId="2">[1]PD!#REF!</definedName>
    <definedName name="NatVegCA" localSheetId="22">#REF!</definedName>
    <definedName name="NatVegCA" localSheetId="2">[1]STR!$G$40</definedName>
    <definedName name="NatVegCApd" localSheetId="2">[1]PD!$G$135</definedName>
    <definedName name="NatVegCApd">PH!$G$142</definedName>
    <definedName name="NatVegCUpct_S" localSheetId="22">#REF!</definedName>
    <definedName name="NatVegCUpct_S" localSheetId="2">[1]Sen!$G$116</definedName>
    <definedName name="NatVegCUpct10" localSheetId="2">[1]FR!$G$97</definedName>
    <definedName name="NatVegCUpct10">FH!$G$99</definedName>
    <definedName name="NatVegCUpct9" localSheetId="22">#REF!</definedName>
    <definedName name="NatVegCUpct9" localSheetId="2">[1]FA!$G$93</definedName>
    <definedName name="NatVegPct11" localSheetId="2">[1]AM!$G$152</definedName>
    <definedName name="NatVegPctCU8" localSheetId="2">[1]INV!$G$122</definedName>
    <definedName name="NatVegPctScape_S" localSheetId="22">#REF!</definedName>
    <definedName name="NatVegPctScape_S" localSheetId="2">[1]Sen!#REF!</definedName>
    <definedName name="NatVegPctScape14" localSheetId="22">SBRM!#REF!</definedName>
    <definedName name="NatVegPctScape14" localSheetId="2">[1]SBM!$G$133</definedName>
    <definedName name="NatVegProx_S" localSheetId="22">#REF!</definedName>
    <definedName name="NatVegProx_S" localSheetId="2">[1]Sen!$G$127</definedName>
    <definedName name="NatVegProx11" localSheetId="22">AM!#REF!</definedName>
    <definedName name="NatVegProx11" localSheetId="2">[1]AM!$G$188</definedName>
    <definedName name="NatVegProx14" localSheetId="22">SBRM!#REF!</definedName>
    <definedName name="NatVegProx14" localSheetId="2">[1]SBM!$G$147</definedName>
    <definedName name="NatVegProx8" localSheetId="22">INV!#REF!</definedName>
    <definedName name="NatVegProx8" localSheetId="2">[1]INV!#REF!</definedName>
    <definedName name="NatVegSize_S" localSheetId="22">#REF!</definedName>
    <definedName name="NatVegSize_S" localSheetId="2">[1]Sen!$G$133</definedName>
    <definedName name="NatVegSize11" localSheetId="22">AM!#REF!</definedName>
    <definedName name="NatVegSize11" localSheetId="2">[1]AM!$G$194</definedName>
    <definedName name="NatVegSize14" localSheetId="22">SBRM!#REF!</definedName>
    <definedName name="NatVegSize14" localSheetId="2">[1]SBM!$G$153</definedName>
    <definedName name="NatVegTractSize" localSheetId="22">FIRE!#REF!</definedName>
    <definedName name="NatVegTractSize" localSheetId="2">[1]WBN!$G$142</definedName>
    <definedName name="natvprox0" localSheetId="22">#REF!</definedName>
    <definedName name="natvprox0" localSheetId="2">[1]POL!$G$83</definedName>
    <definedName name="NatWoodDis0" localSheetId="22">#REF!</definedName>
    <definedName name="NatWoodDis0">#REF!</definedName>
    <definedName name="Navigable" localSheetId="22">#REF!</definedName>
    <definedName name="Navigable" localSheetId="2">#REF!</definedName>
    <definedName name="Ndown4" localSheetId="22">NR!#REF!</definedName>
    <definedName name="Ndown4">NR!#REF!</definedName>
    <definedName name="NestBirdCol" localSheetId="22">OF!#REF!</definedName>
    <definedName name="NestBirdCol">OF!#REF!</definedName>
    <definedName name="NestSites" localSheetId="22">#REF!</definedName>
    <definedName name="NestSites">#REF!</definedName>
    <definedName name="NewWet">NR!$G$126</definedName>
    <definedName name="NewWet_S" localSheetId="22">#REF!</definedName>
    <definedName name="NewWet_S">#REF!</definedName>
    <definedName name="NewWet10" localSheetId="22">FH!#REF!</definedName>
    <definedName name="NewWet10">FH!#REF!</definedName>
    <definedName name="NewWet11" localSheetId="22">AM!#REF!</definedName>
    <definedName name="NewWet11">AM!#REF!</definedName>
    <definedName name="NewWet12" localSheetId="22">#REF!</definedName>
    <definedName name="NewWet12">#REF!</definedName>
    <definedName name="NewWet2a" localSheetId="22">SR!#REF!</definedName>
    <definedName name="NewWet2a">SR!#REF!</definedName>
    <definedName name="NewWet3" localSheetId="22">PR!#REF!</definedName>
    <definedName name="NewWet3">PR!#REF!</definedName>
    <definedName name="NewWet3F" localSheetId="22">PR!#REF!</definedName>
    <definedName name="NewWet3F">PR!#REF!</definedName>
    <definedName name="NewWet5" localSheetId="22">#REF!</definedName>
    <definedName name="NewWet5">#REF!</definedName>
    <definedName name="NewWet6">OE!$G$109</definedName>
    <definedName name="NewWet8" localSheetId="22">INV!#REF!</definedName>
    <definedName name="NewWet8">INV!#REF!</definedName>
    <definedName name="NewWetNot" localSheetId="22">OF!#REF!</definedName>
    <definedName name="NewWetNot">OF!#REF!</definedName>
    <definedName name="NewWetNot6">OE!$D$110</definedName>
    <definedName name="NewWetPD">PH!$G$152</definedName>
    <definedName name="Nfix10" localSheetId="22">FH!#REF!</definedName>
    <definedName name="Nfix10">FH!#REF!</definedName>
    <definedName name="Nfix14" localSheetId="22">SBRM!#REF!</definedName>
    <definedName name="Nfix14">SBRM!#REF!</definedName>
    <definedName name="Nfix4" localSheetId="22">NR!#REF!</definedName>
    <definedName name="Nfix4">NR!#REF!</definedName>
    <definedName name="Nfix5" localSheetId="22">#REF!</definedName>
    <definedName name="Nfix5">#REF!</definedName>
    <definedName name="Nfix9" localSheetId="22">#REF!</definedName>
    <definedName name="Nfix9">#REF!</definedName>
    <definedName name="Nfixer4" localSheetId="22">NR!#REF!</definedName>
    <definedName name="Nfixer4" localSheetId="2">[1]NR!#REF!</definedName>
    <definedName name="Nfixer5" localSheetId="22">#REF!</definedName>
    <definedName name="Nfixer5" localSheetId="2">[1]CS!#REF!</definedName>
    <definedName name="Nfixer6" localSheetId="2">[1]OE!$G$79</definedName>
    <definedName name="Nfixer6">OE!$G$21</definedName>
    <definedName name="Nfixers8" localSheetId="2">[1]INV!$G$94</definedName>
    <definedName name="Nfixers8">INV!$G$41</definedName>
    <definedName name="NfixPD">PH!$G$50</definedName>
    <definedName name="NfixS" localSheetId="22">#REF!</definedName>
    <definedName name="NfixS">#REF!</definedName>
    <definedName name="Nload4" localSheetId="22">NR!#REF!</definedName>
    <definedName name="Nload4" localSheetId="2">[1]NR!#REF!</definedName>
    <definedName name="nnativ11" localSheetId="22">AM!#REF!</definedName>
    <definedName name="nnativ11" localSheetId="2">[1]AM!$G$121</definedName>
    <definedName name="NNfish" localSheetId="22">FH!#REF!</definedName>
    <definedName name="NNfish" localSheetId="2">[1]FR!$G$85</definedName>
    <definedName name="NNfish9" localSheetId="22">#REF!</definedName>
    <definedName name="NNfish9" localSheetId="2">[1]FA!$G$82</definedName>
    <definedName name="NoAccess9" localSheetId="22">#REF!</definedName>
    <definedName name="NoAccess9" localSheetId="2">[1]FA!#REF!</definedName>
    <definedName name="NoDeer" localSheetId="22">PH!#REF!</definedName>
    <definedName name="NoDeer">PH!#REF!</definedName>
    <definedName name="NoDeerPD" localSheetId="22">PH!#REF!</definedName>
    <definedName name="NoDeerPD">PH!#REF!</definedName>
    <definedName name="NoDrainage" localSheetId="22">WS!#REF!</definedName>
    <definedName name="NoDrainage" localSheetId="2">[1]WS!$G$72</definedName>
    <definedName name="NoEmPct" localSheetId="22">#REF!</definedName>
    <definedName name="NoEmPct">#REF!</definedName>
    <definedName name="NoFreezeFR" localSheetId="22">FH!#REF!</definedName>
    <definedName name="NoFreezeFR" localSheetId="2">[1]FR!$G$88</definedName>
    <definedName name="NoHerb_S" localSheetId="22">#REF!</definedName>
    <definedName name="NoHerb_S">#REF!</definedName>
    <definedName name="NoHerbCov">F!$D$90</definedName>
    <definedName name="NoInflo" localSheetId="22">#REF!</definedName>
    <definedName name="NoInflo">#REF!</definedName>
    <definedName name="NonHydric6" localSheetId="2">[1]OE!$G$117</definedName>
    <definedName name="NonNatvAnim" localSheetId="22">#REF!</definedName>
    <definedName name="NonNatvAnim" localSheetId="2">#REF!</definedName>
    <definedName name="NoOpenPonded">F!$D$174</definedName>
    <definedName name="NoOpenPonded1">F!$D$175</definedName>
    <definedName name="NoOtherWettypes">F!$D$17</definedName>
    <definedName name="NoOut_S" localSheetId="22">#REF!</definedName>
    <definedName name="NoOut_S" localSheetId="2">[1]Sen!$D$33</definedName>
    <definedName name="NoOut3" localSheetId="22">PR!#REF!</definedName>
    <definedName name="NoOut3">PR!#REF!</definedName>
    <definedName name="NoOutlet1" localSheetId="2">[1]WS!$D$52</definedName>
    <definedName name="NoOutlet10" localSheetId="2">[1]FR!$D$63</definedName>
    <definedName name="NoOutlet1a">WS!$D$80</definedName>
    <definedName name="NoOutlet2" localSheetId="2">[1]SR!$D$40</definedName>
    <definedName name="NoOutlet3" localSheetId="2">[1]PR!$D$57</definedName>
    <definedName name="NoOutlet4" localSheetId="2">[1]NR!$D$53</definedName>
    <definedName name="NoOutlet5" localSheetId="22">#REF!</definedName>
    <definedName name="NoOutlet5">#REF!</definedName>
    <definedName name="NoOutlet6" localSheetId="2">[1]OE!$D$59</definedName>
    <definedName name="NoOutlet7" localSheetId="22">WC!#REF!</definedName>
    <definedName name="NoOutlet7" localSheetId="2">[1]T!$D$28</definedName>
    <definedName name="NoPerm10" localSheetId="22">FH!#REF!</definedName>
    <definedName name="NoPerm10" localSheetId="2">[1]FR!$D$22</definedName>
    <definedName name="NoPermW10" localSheetId="2">[1]FR!$D$35</definedName>
    <definedName name="NoPermW10">FH!$D$26</definedName>
    <definedName name="NoPersis">F!$D$128</definedName>
    <definedName name="NoPonded">F!$D$166</definedName>
    <definedName name="NormalSeasW" localSheetId="22">PH!#REF!</definedName>
    <definedName name="NormalSeasW" localSheetId="2">[1]PD!$G$33</definedName>
    <definedName name="NoSAV" localSheetId="22">#REF!</definedName>
    <definedName name="NoSAV">#REF!</definedName>
    <definedName name="NoScum_C" localSheetId="22">#REF!</definedName>
    <definedName name="NoScum_C">#REF!</definedName>
    <definedName name="NoScum15" localSheetId="22">PH!#REF!</definedName>
    <definedName name="NoScum15">PH!#REF!</definedName>
    <definedName name="NoScumPD" localSheetId="22">PH!#REF!</definedName>
    <definedName name="NoScumPD" localSheetId="2">[1]PD!$G$43</definedName>
    <definedName name="NoSeasonal">F!$D$143</definedName>
    <definedName name="NoShrub">F!#REF!</definedName>
    <definedName name="NotCreated" localSheetId="22">NR!#REF!</definedName>
    <definedName name="NotCreated" localSheetId="2">[1]NR!$G$102</definedName>
    <definedName name="NotFen5" localSheetId="22">#REF!</definedName>
    <definedName name="NotFen5">#REF!</definedName>
    <definedName name="NotNewWet" localSheetId="22">#REF!</definedName>
    <definedName name="NotNewWet">#REF!</definedName>
    <definedName name="NoTrees">F!#REF!</definedName>
    <definedName name="NoWat3" localSheetId="22">PR!#REF!</definedName>
    <definedName name="NoWat3">PR!#REF!</definedName>
    <definedName name="NoWater1" localSheetId="22">WS!#REF!</definedName>
    <definedName name="NoWater1" localSheetId="2">[1]WS!#REF!</definedName>
    <definedName name="NoWater3" localSheetId="2">[1]PR!$D$19</definedName>
    <definedName name="NoWater4" localSheetId="22">NR!#REF!</definedName>
    <definedName name="NoWater4" localSheetId="2">[1]NR!#REF!</definedName>
    <definedName name="NoWater4a" localSheetId="2">[1]NR!$D$9</definedName>
    <definedName name="NoWoody" localSheetId="2">[1]CQ!$G$49</definedName>
    <definedName name="NoWoody_S" localSheetId="22">#REF!</definedName>
    <definedName name="NoWoody_S">#REF!</definedName>
    <definedName name="NoWoodyVeg">F!$D$19</definedName>
    <definedName name="NprobUp4" localSheetId="22">NR!#REF!</definedName>
    <definedName name="NprobUp4" localSheetId="2">[1]NR!$D$129</definedName>
    <definedName name="Nrank4" localSheetId="22">NR!#REF!</definedName>
    <definedName name="Nrank4" localSheetId="2">[1]NR!$G$142</definedName>
    <definedName name="NRE3a" localSheetId="22">NR!#REF!</definedName>
    <definedName name="NRE3a" localSheetId="2">[1]NR!$G$168</definedName>
    <definedName name="Nsource4" localSheetId="22">NR!#REF!</definedName>
    <definedName name="Nsource4" localSheetId="2">[1]NR!$G$147</definedName>
    <definedName name="NtidalJux12" localSheetId="22">#REF!</definedName>
    <definedName name="NtidalJux12" localSheetId="2">[1]WBF!$G$12</definedName>
    <definedName name="NtidalJux14" localSheetId="22">SBRM!#REF!</definedName>
    <definedName name="NtidalJux14" localSheetId="2">[1]SBM!$G$9</definedName>
    <definedName name="NtidalProx9" localSheetId="22">#REF!</definedName>
    <definedName name="NtidalProx9" localSheetId="2">[1]FA!$G$14</definedName>
    <definedName name="NutrAvail5" localSheetId="22">#REF!</definedName>
    <definedName name="NutrAvail5">#REF!</definedName>
    <definedName name="NutrAvail6" localSheetId="22">OE!#REF!</definedName>
    <definedName name="NutrAvail6">OE!#REF!</definedName>
    <definedName name="Nutrients15" localSheetId="22">PH!#REF!</definedName>
    <definedName name="Nutrients15">PH!#REF!</definedName>
    <definedName name="NutrIn20" localSheetId="22">PH!#REF!</definedName>
    <definedName name="NutrIn20">PH!#REF!</definedName>
    <definedName name="NutrIn8" localSheetId="22">INV!#REF!</definedName>
    <definedName name="NutrIn8" localSheetId="2">[1]INV!$G$139</definedName>
    <definedName name="NutrIn9" localSheetId="22">#REF!</definedName>
    <definedName name="NutrIn9" localSheetId="2">[1]FA!$G$118</definedName>
    <definedName name="OpenlandPct11" localSheetId="22">AM!#REF!</definedName>
    <definedName name="OpenlandPct11" localSheetId="2">[1]AM!#REF!</definedName>
    <definedName name="OpenlandProx11" localSheetId="22">AM!#REF!</definedName>
    <definedName name="OpenlandProx11" localSheetId="2">[1]AM!#REF!</definedName>
    <definedName name="OpenPct1">WS!$G$56</definedName>
    <definedName name="OpenPctScape12" localSheetId="22">#REF!</definedName>
    <definedName name="OpenPctScape12" localSheetId="2">[1]WBF!$G$112</definedName>
    <definedName name="OpenPonded2">SR!$G$41</definedName>
    <definedName name="OpenPonded2a">SFS!$G$33</definedName>
    <definedName name="OpenPonded7">WC!$G$40</definedName>
    <definedName name="OpenPonded7a" localSheetId="22">#REF!</definedName>
    <definedName name="OpenPonded7a">#REF!</definedName>
    <definedName name="OpenScapeProx12" localSheetId="22">#REF!</definedName>
    <definedName name="OpenScapeProx12" localSheetId="2">[1]WBF!$G$118</definedName>
    <definedName name="OpenSize2" localSheetId="22">SR!#REF!</definedName>
    <definedName name="OpenSize2">SR!#REF!</definedName>
    <definedName name="OpenStrucs14" localSheetId="22">SBRM!#REF!</definedName>
    <definedName name="OpenStrucs14" localSheetId="2">[1]SBM!#REF!</definedName>
    <definedName name="OpenUndev" localSheetId="22">OF!#REF!</definedName>
    <definedName name="OpenUndev">OF!#REF!</definedName>
    <definedName name="OpenUndev8" localSheetId="22">INV!#REF!</definedName>
    <definedName name="OpenUndev8">INV!#REF!</definedName>
    <definedName name="OpenUndevA" localSheetId="22">OF!#REF!</definedName>
    <definedName name="OpenUndevA">OF!#REF!</definedName>
    <definedName name="OpenUndevA0" localSheetId="22">#REF!</definedName>
    <definedName name="OpenUndevA0">#REF!</definedName>
    <definedName name="OpenUndevA15" localSheetId="22">PH!#REF!</definedName>
    <definedName name="OpenUndevA15">PH!#REF!</definedName>
    <definedName name="OpenUndevB" localSheetId="22">OF!#REF!</definedName>
    <definedName name="OpenUndevB">OF!#REF!</definedName>
    <definedName name="OpenUndevB11" localSheetId="22">AM!#REF!</definedName>
    <definedName name="OpenUndevB11">AM!#REF!</definedName>
    <definedName name="OpenUndevB13" localSheetId="22">FIRE!#REF!</definedName>
    <definedName name="OpenUndevB13">WB!#REF!</definedName>
    <definedName name="OpenUndevB14" localSheetId="22">SBRM!#REF!</definedName>
    <definedName name="OpenUndevB14">SBRM!#REF!</definedName>
    <definedName name="OpenUndevS" localSheetId="22">#REF!</definedName>
    <definedName name="OpenUndevS">#REF!</definedName>
    <definedName name="OpenW">F!$D$172</definedName>
    <definedName name="OpenWpct3">PR!$G$57</definedName>
    <definedName name="OpenwSize13" localSheetId="22">FIRE!#REF!</definedName>
    <definedName name="OpenwSize13">WB!#REF!</definedName>
    <definedName name="OpWater" localSheetId="22">F!#REF!</definedName>
    <definedName name="OpWater">F!#REF!</definedName>
    <definedName name="OpWaterDry" localSheetId="22">F!#REF!</definedName>
    <definedName name="OpWaterDry">F!#REF!</definedName>
    <definedName name="OpWaterWet" localSheetId="22">F!#REF!</definedName>
    <definedName name="OpWaterWet">F!#REF!</definedName>
    <definedName name="Organic4" localSheetId="22">NR!#REF!</definedName>
    <definedName name="Organic4">NR!#REF!</definedName>
    <definedName name="OUT2A">SR!$G$101</definedName>
    <definedName name="OUT2B" localSheetId="22">SR!#REF!</definedName>
    <definedName name="OUT2B">SR!#REF!</definedName>
    <definedName name="OUT3A">PR!$G$117</definedName>
    <definedName name="OUT3B" localSheetId="22">PR!#REF!</definedName>
    <definedName name="OUT3B">PR!#REF!</definedName>
    <definedName name="OUT7A">WC!$G$65</definedName>
    <definedName name="OUT7B" localSheetId="22">WC!#REF!</definedName>
    <definedName name="OUT7B">WC!#REF!</definedName>
    <definedName name="OutC1a">OE!$G$129</definedName>
    <definedName name="OutC1b" localSheetId="22">OE!#REF!</definedName>
    <definedName name="OutC1b">OE!#REF!</definedName>
    <definedName name="OutDur2" localSheetId="2">[1]SR!$G$36</definedName>
    <definedName name="OutDur2">SR!$G$70</definedName>
    <definedName name="OutDur2_">SFS!$G$40</definedName>
    <definedName name="OutDur7" localSheetId="2">[1]T!$G$24</definedName>
    <definedName name="OutDur7">WC!$G$47</definedName>
    <definedName name="OutDura_S" localSheetId="22">#REF!</definedName>
    <definedName name="OutDura_S" localSheetId="2">[1]Sen!$G$29</definedName>
    <definedName name="OutDura1" localSheetId="2">[1]WS!$G$48</definedName>
    <definedName name="OutDura1">WS!$G$76</definedName>
    <definedName name="OutDura10" localSheetId="2">[1]FR!$G$59</definedName>
    <definedName name="OutDura10">FH!$G$89</definedName>
    <definedName name="OutDura3" localSheetId="2">[1]PR!$G$53</definedName>
    <definedName name="OutDura3">PR!$G$88</definedName>
    <definedName name="OutDura4" localSheetId="2">[1]NR!$G$49</definedName>
    <definedName name="OutDura4">NR!$G$107</definedName>
    <definedName name="OutDura5" localSheetId="22">#REF!</definedName>
    <definedName name="OutDura5" localSheetId="2">[1]CS!$G$58</definedName>
    <definedName name="OutDura6" localSheetId="2">[1]OE!$G$55</definedName>
    <definedName name="OutDura6">OE!$G$94</definedName>
    <definedName name="OutDura9" localSheetId="22">#REF!</definedName>
    <definedName name="OutDura9" localSheetId="2">[1]FA!$G$50</definedName>
    <definedName name="Outlet4" localSheetId="22">NR!#REF!</definedName>
    <definedName name="Outlet4">NR!#REF!</definedName>
    <definedName name="Outlet4p" localSheetId="22">NR!#REF!</definedName>
    <definedName name="Outlet4p">NR!#REF!</definedName>
    <definedName name="OutNone">F!$D$238</definedName>
    <definedName name="OutNone1">F!$D$237</definedName>
    <definedName name="OWarea">OF!$E$23</definedName>
    <definedName name="Owner" localSheetId="22">HU!#REF!</definedName>
    <definedName name="Owner">HU!#REF!</definedName>
    <definedName name="Ownership" localSheetId="2">[1]PU!$G$6</definedName>
    <definedName name="Ownership">HU!$G$24</definedName>
    <definedName name="OwnerSS" localSheetId="22">#REF!</definedName>
    <definedName name="OwnerSS">#REF!</definedName>
    <definedName name="OWpatchSize8" localSheetId="22">INV!#REF!</definedName>
    <definedName name="OWpatchSize8">INV!#REF!</definedName>
    <definedName name="OWpct">OF!$E$24</definedName>
    <definedName name="OWpct_AM">OF!$E$26</definedName>
    <definedName name="OWpct_INV">OF!$E$25</definedName>
    <definedName name="OWpct_WB">OF!$E$27</definedName>
    <definedName name="OWpct10">FH!$G$52</definedName>
    <definedName name="OWpct11">AM!$G$67</definedName>
    <definedName name="OWpct13" localSheetId="22">FIRE!#REF!</definedName>
    <definedName name="OWpct13">WB!$G$90</definedName>
    <definedName name="OWpct4">NR!$G$83</definedName>
    <definedName name="OWpct6">OE!$G$70</definedName>
    <definedName name="OWpct8">INV!$G$95</definedName>
    <definedName name="ParkRem0v" localSheetId="22">#REF!</definedName>
    <definedName name="ParkRem0v">#REF!</definedName>
    <definedName name="ParkRemS" localSheetId="22">#REF!</definedName>
    <definedName name="ParkRemS">#REF!</definedName>
    <definedName name="Pcp_S" localSheetId="22">#REF!</definedName>
    <definedName name="Pcp_S" localSheetId="2">[1]Sen!$G$179</definedName>
    <definedName name="PdataDown3" localSheetId="22">PR!#REF!</definedName>
    <definedName name="PdataDown3">PR!#REF!</definedName>
    <definedName name="PdataUp3" localSheetId="22">PR!#REF!</definedName>
    <definedName name="PdataUp3">PR!#REF!</definedName>
    <definedName name="PdataUpDis3" localSheetId="22">PR!#REF!</definedName>
    <definedName name="PdataUpDis3" localSheetId="2">[1]PR!#REF!</definedName>
    <definedName name="PdownDis3" localSheetId="22">PR!#REF!</definedName>
    <definedName name="PdownDis3" localSheetId="2">[1]PR!$G$137</definedName>
    <definedName name="peat1">F!$D$80</definedName>
    <definedName name="peat2">F!$D$81</definedName>
    <definedName name="PerennCropCA" localSheetId="22">OF!#REF!</definedName>
    <definedName name="PerennCropCA">OF!#REF!</definedName>
    <definedName name="PerimNatCov">OF!#REF!</definedName>
    <definedName name="Permafrost">OF!#REF!</definedName>
    <definedName name="PermPctAll12" localSheetId="22">#REF!</definedName>
    <definedName name="PermPctAll12">#REF!</definedName>
    <definedName name="PermWaterAll14" localSheetId="2">[1]SBM!$D$16</definedName>
    <definedName name="PermWpct10">FH!$G$20</definedName>
    <definedName name="PermWpct11" localSheetId="22">AM!#REF!</definedName>
    <definedName name="PermWpct11" localSheetId="2">[1]AM!$G$13</definedName>
    <definedName name="PermWpct12" localSheetId="22">#REF!</definedName>
    <definedName name="PermWpct12" localSheetId="2">[1]WBF!$G$30</definedName>
    <definedName name="PermWpct13" localSheetId="2">[1]WBN!$G$16</definedName>
    <definedName name="PermWpct13">WB!$G$59</definedName>
    <definedName name="PermWpct14">SBRM!$G$92</definedName>
    <definedName name="PermWpct15">FIRE!$G$6</definedName>
    <definedName name="PermWpct3" localSheetId="22">PR!#REF!</definedName>
    <definedName name="PermWpct3" localSheetId="2">[1]PR!#REF!</definedName>
    <definedName name="PermWpct4" localSheetId="2">[1]NR!$G$17</definedName>
    <definedName name="PermWpct4">NR!$G$58</definedName>
    <definedName name="PermWpct5" localSheetId="22">#REF!</definedName>
    <definedName name="PermWpct5" localSheetId="2">[1]CS!$G$28</definedName>
    <definedName name="PermWpct8" localSheetId="2">[1]INV!$G$23</definedName>
    <definedName name="PermWpct8">INV!$G$66</definedName>
    <definedName name="PermWpct9" localSheetId="22">#REF!</definedName>
    <definedName name="PermWpct9">#REF!</definedName>
    <definedName name="PermWpd" localSheetId="22">PH!#REF!</definedName>
    <definedName name="PermWpd">PH!#REF!</definedName>
    <definedName name="Persis3" localSheetId="2">[1]PR!$G$27</definedName>
    <definedName name="Persis3">PR!$G$37</definedName>
    <definedName name="PersisPD">PH!$G$96</definedName>
    <definedName name="persist0" localSheetId="22">#REF!</definedName>
    <definedName name="persist0" localSheetId="2">[1]POL!$G$9</definedName>
    <definedName name="PersistPct1" localSheetId="22">WS!#REF!</definedName>
    <definedName name="PersistPct1" localSheetId="2">[1]WS!$G$22</definedName>
    <definedName name="PersistPct2" localSheetId="22">SR!#REF!</definedName>
    <definedName name="PersistPct2" localSheetId="2">[1]SR!$G$123</definedName>
    <definedName name="PestFish10" localSheetId="22">FH!#REF!</definedName>
    <definedName name="PestFish10" localSheetId="2">[1]FR!$G$82</definedName>
    <definedName name="PestFish11" localSheetId="22">AM!#REF!</definedName>
    <definedName name="PestFish11" localSheetId="2">[1]AM!$G$118</definedName>
    <definedName name="PestFish9" localSheetId="22">#REF!</definedName>
    <definedName name="PestFish9" localSheetId="2">[1]FA!$G$79</definedName>
    <definedName name="Phab1a" localSheetId="22">#REF!</definedName>
    <definedName name="Phab1a">#REF!</definedName>
    <definedName name="Phab1b" localSheetId="22">#REF!</definedName>
    <definedName name="Phab1b">#REF!</definedName>
    <definedName name="PhosDn3" localSheetId="22">PR!#REF!</definedName>
    <definedName name="PhosDn3">PR!#REF!</definedName>
    <definedName name="PhosUp3" localSheetId="22">PR!#REF!</definedName>
    <definedName name="PhosUp3">PR!#REF!</definedName>
    <definedName name="PhysAccess" localSheetId="22">#REF!</definedName>
    <definedName name="PhysAccess" localSheetId="2">#REF!</definedName>
    <definedName name="PhysAccum5" localSheetId="22">#REF!</definedName>
    <definedName name="PhysAccum5">#REF!</definedName>
    <definedName name="Physical" localSheetId="22">#REF!</definedName>
    <definedName name="Physical" localSheetId="2">[1]CQ!#REF!</definedName>
    <definedName name="PlantCov5" localSheetId="22">#REF!</definedName>
    <definedName name="PlantCov5">#REF!</definedName>
    <definedName name="PlantCov6" localSheetId="22">OE!#REF!</definedName>
    <definedName name="PlantCov6">OE!#REF!</definedName>
    <definedName name="PlantSiteS" localSheetId="22">#REF!</definedName>
    <definedName name="PlantSiteS">#REF!</definedName>
    <definedName name="Playa" localSheetId="22">#REF!</definedName>
    <definedName name="Playa" localSheetId="2">#REF!</definedName>
    <definedName name="Playa10" localSheetId="22">FH!#REF!</definedName>
    <definedName name="Playa10" localSheetId="2">[1]FR!$D$4</definedName>
    <definedName name="Playa11" localSheetId="22">AM!#REF!</definedName>
    <definedName name="Playa11" localSheetId="2">[1]AM!$D$3</definedName>
    <definedName name="Playa12" localSheetId="22">#REF!</definedName>
    <definedName name="Playa12" localSheetId="2">[1]WBF!$D$4</definedName>
    <definedName name="Playa12a" localSheetId="22">#REF!</definedName>
    <definedName name="Playa12a">#REF!</definedName>
    <definedName name="Playa5" localSheetId="22">#REF!</definedName>
    <definedName name="Playa5" localSheetId="2">[1]CS!$D$4</definedName>
    <definedName name="Playa8" localSheetId="22">INV!#REF!</definedName>
    <definedName name="Playa8" localSheetId="2">[1]INV!$D$3</definedName>
    <definedName name="Playa9" localSheetId="22">#REF!</definedName>
    <definedName name="Playa9" localSheetId="2">[1]FA!$D$4</definedName>
    <definedName name="Pload3" localSheetId="22">PR!#REF!</definedName>
    <definedName name="Pload3" localSheetId="2">[1]PR!$G$146</definedName>
    <definedName name="PollenOff" localSheetId="22">#REF!</definedName>
    <definedName name="PollenOff">#REF!</definedName>
    <definedName name="PollenOn" localSheetId="22">#REF!</definedName>
    <definedName name="PollenOn">#REF!</definedName>
    <definedName name="PolluIn" localSheetId="22">INV!#REF!</definedName>
    <definedName name="PolluIn" localSheetId="2">[1]INV!$G$136</definedName>
    <definedName name="PolluIn13" localSheetId="22">FIRE!#REF!</definedName>
    <definedName name="PolluIn13">WB!#REF!</definedName>
    <definedName name="PolluIn14" localSheetId="22">#REF!</definedName>
    <definedName name="PolluIn14" localSheetId="2">[1]WBF!$D$159</definedName>
    <definedName name="PolluSource" localSheetId="22">OF!#REF!</definedName>
    <definedName name="PolluSource">OF!#REF!</definedName>
    <definedName name="PolluSource0" localSheetId="22">#REF!</definedName>
    <definedName name="PolluSource0">#REF!</definedName>
    <definedName name="PolluSource10" localSheetId="22">FH!#REF!</definedName>
    <definedName name="PolluSource10">FH!#REF!</definedName>
    <definedName name="PolluSource11" localSheetId="22">AM!#REF!</definedName>
    <definedName name="PolluSource11">AM!#REF!</definedName>
    <definedName name="PolluSource15" localSheetId="22">PH!#REF!</definedName>
    <definedName name="PolluSource15">PH!#REF!</definedName>
    <definedName name="PolluSource2" localSheetId="22">SR!#REF!</definedName>
    <definedName name="PolluSource2">SR!#REF!</definedName>
    <definedName name="PolluSource3" localSheetId="22">PR!#REF!</definedName>
    <definedName name="PolluSource3">PR!#REF!</definedName>
    <definedName name="PolluSource4" localSheetId="22">NR!#REF!</definedName>
    <definedName name="PolluSource4">NR!#REF!</definedName>
    <definedName name="PolluSource8" localSheetId="22">INV!#REF!</definedName>
    <definedName name="PolluSource8">INV!#REF!</definedName>
    <definedName name="PolluUpConn" localSheetId="22">#REF!</definedName>
    <definedName name="PolluUpConn">#REF!</definedName>
    <definedName name="Ponded" localSheetId="22">F!#REF!</definedName>
    <definedName name="Ponded">F!#REF!</definedName>
    <definedName name="PondedOWpct0" localSheetId="22">#REF!</definedName>
    <definedName name="PondedOWpct0">#REF!</definedName>
    <definedName name="PondedOWpct14">SBRM!$G$99</definedName>
    <definedName name="PondedOWpct21">HU!$G$12</definedName>
    <definedName name="PondedOWpctPD">PH!$G$115</definedName>
    <definedName name="PondedPct2" localSheetId="22">SR!#REF!</definedName>
    <definedName name="PondedPct2">SR!#REF!</definedName>
    <definedName name="PondedPct6">OE!$G$63</definedName>
    <definedName name="PondOpenSize11" localSheetId="22">AM!#REF!</definedName>
    <definedName name="PondOpenSize11">AM!#REF!</definedName>
    <definedName name="PondPct4">NR!$G$76</definedName>
    <definedName name="PondPctScape11" localSheetId="22">AM!#REF!</definedName>
    <definedName name="PondPctScape11" localSheetId="2">[1]AM!$G$200</definedName>
    <definedName name="PondPctScape12" localSheetId="22">#REF!</definedName>
    <definedName name="PondPctScape12" localSheetId="2">[1]WBF!$G$123</definedName>
    <definedName name="PondPctScape14" localSheetId="22">SBRM!#REF!</definedName>
    <definedName name="PondPctScape14" localSheetId="2">[1]SBM!$G$159</definedName>
    <definedName name="PondProx_S" localSheetId="22">#REF!</definedName>
    <definedName name="PondProx_S" localSheetId="2">[1]Sen!$G$146</definedName>
    <definedName name="PondProx11" localSheetId="22">AM!#REF!</definedName>
    <definedName name="PondProx11" localSheetId="2">[1]AM!$G$207</definedName>
    <definedName name="PondProx12" localSheetId="22">#REF!</definedName>
    <definedName name="PondProx12" localSheetId="2">[1]WBF!$G$130</definedName>
    <definedName name="PondProx13" localSheetId="22">FIRE!#REF!</definedName>
    <definedName name="PondProx13" localSheetId="2">[1]WBN!$G$155</definedName>
    <definedName name="PondProx14" localSheetId="22">SBRM!#REF!</definedName>
    <definedName name="PondProx14" localSheetId="2">[1]SBM!$G$166</definedName>
    <definedName name="PondProx15" localSheetId="22">PH!#REF!</definedName>
    <definedName name="PondProx15" localSheetId="2">[1]PD!$G$156</definedName>
    <definedName name="PondScape_S" localSheetId="22">#REF!</definedName>
    <definedName name="PondScape_S" localSheetId="2">[1]Sen!$G$139</definedName>
    <definedName name="PondScape15" localSheetId="22">PH!#REF!</definedName>
    <definedName name="PondScape15" localSheetId="2">[1]PD!$G$149</definedName>
    <definedName name="PondScapePct13" localSheetId="22">FIRE!#REF!</definedName>
    <definedName name="PondScapePct13" localSheetId="2">[1]WBN!$G$148</definedName>
    <definedName name="PondSizeVar11" localSheetId="22">AM!#REF!</definedName>
    <definedName name="PondSizeVar11" localSheetId="2">[1]AM!#REF!</definedName>
    <definedName name="PopCtr12" localSheetId="22">#REF!</definedName>
    <definedName name="PopCtr12">#REF!</definedName>
    <definedName name="PopCtr14" localSheetId="22">SBRM!#REF!</definedName>
    <definedName name="PopCtr14">SBRM!#REF!</definedName>
    <definedName name="PopCtr15" localSheetId="22">PH!#REF!</definedName>
    <definedName name="PopCtr15">PH!#REF!</definedName>
    <definedName name="PopCtr9" localSheetId="22">#REF!</definedName>
    <definedName name="PopCtr9">#REF!</definedName>
    <definedName name="PopCtrDisPU" localSheetId="22">HU!#REF!</definedName>
    <definedName name="PopCtrDisPU">HU!#REF!</definedName>
    <definedName name="PopCtrDisS" localSheetId="22">#REF!</definedName>
    <definedName name="PopCtrDisS">#REF!</definedName>
    <definedName name="PopCtrDist" localSheetId="22">#REF!</definedName>
    <definedName name="PopCtrDist">#REF!</definedName>
    <definedName name="PopDist10" localSheetId="22">FH!#REF!</definedName>
    <definedName name="PopDist10">FH!#REF!</definedName>
    <definedName name="PopDist4" localSheetId="22">NR!#REF!</definedName>
    <definedName name="PopDist4">NR!#REF!</definedName>
    <definedName name="PosShed3" localSheetId="22">PR!#REF!</definedName>
    <definedName name="PosShed3" localSheetId="2">[1]PR!$G$107</definedName>
    <definedName name="PPET">OF!$E$28</definedName>
    <definedName name="PprobUp2" localSheetId="22">PR!#REF!</definedName>
    <definedName name="PprobUp2" localSheetId="2">[1]PR!$D$134</definedName>
    <definedName name="Prank3" localSheetId="22">PR!#REF!</definedName>
    <definedName name="Prank3" localSheetId="2">[1]PR!$G$141</definedName>
    <definedName name="Precip11" localSheetId="22">AM!#REF!</definedName>
    <definedName name="Precip11" localSheetId="2">[1]AM!$G$237</definedName>
    <definedName name="Precip12" localSheetId="22">#REF!</definedName>
    <definedName name="Precip12" localSheetId="2">[1]WBF!$G$174</definedName>
    <definedName name="Precip2" localSheetId="22">SFS!#REF!</definedName>
    <definedName name="Precip2">SFS!#REF!</definedName>
    <definedName name="PrecipAnnu" localSheetId="22">#REF!</definedName>
    <definedName name="PrecipAnnu" localSheetId="2">#REF!</definedName>
    <definedName name="PrecipPD" localSheetId="22">PH!#REF!</definedName>
    <definedName name="PrecipPD" localSheetId="2">[1]PD!$G$188</definedName>
    <definedName name="Pred1a">AM!#REF!</definedName>
    <definedName name="Pred1b" localSheetId="22">AM!#REF!</definedName>
    <definedName name="Pred1b">AM!#REF!</definedName>
    <definedName name="PredA1a">AM!#REF!</definedName>
    <definedName name="PredA1b" localSheetId="22">AM!#REF!</definedName>
    <definedName name="PredA1b">AM!#REF!</definedName>
    <definedName name="_xlnm.Print_Area" localSheetId="0">CoverPg!$B$1:$C$29</definedName>
    <definedName name="_xlnm.Print_Area" localSheetId="1">F!$A$2:$D$314</definedName>
    <definedName name="_xlnm.Print_Area" localSheetId="3">OF!$B$2:$D$52</definedName>
    <definedName name="_xlnm.Print_Area" localSheetId="2">S!$A$2:$F$88</definedName>
    <definedName name="_xlnm.Print_Area" localSheetId="24">Scores!$A$1:$K$25</definedName>
    <definedName name="Produc" localSheetId="22">SBRM!#REF!</definedName>
    <definedName name="Produc">SBRM!#REF!</definedName>
    <definedName name="Produc10" localSheetId="22">FH!#REF!</definedName>
    <definedName name="Produc10">FH!#REF!</definedName>
    <definedName name="Produc11" localSheetId="22">AM!#REF!</definedName>
    <definedName name="Produc11">AM!#REF!</definedName>
    <definedName name="Produc12" localSheetId="22">#REF!</definedName>
    <definedName name="Produc12">#REF!</definedName>
    <definedName name="Produc13" localSheetId="22">FIRE!#REF!</definedName>
    <definedName name="Produc13">WB!#REF!</definedName>
    <definedName name="Produc14" localSheetId="22">SBRM!#REF!</definedName>
    <definedName name="Produc14">SBRM!#REF!</definedName>
    <definedName name="Produc9" localSheetId="22">#REF!</definedName>
    <definedName name="Produc9">#REF!</definedName>
    <definedName name="Productiv" localSheetId="22">#REF!</definedName>
    <definedName name="Productiv">#REF!</definedName>
    <definedName name="Productiv6" localSheetId="22">OE!#REF!</definedName>
    <definedName name="Productiv6">OE!#REF!</definedName>
    <definedName name="ProtecStatus" localSheetId="22">HU!#REF!</definedName>
    <definedName name="ProtecStatus">HU!#REF!</definedName>
    <definedName name="Protect13" localSheetId="22">FIRE!#REF!</definedName>
    <definedName name="Protect13">WB!#REF!</definedName>
    <definedName name="Provis21">HU!$G$48</definedName>
    <definedName name="Pscape1a" localSheetId="22">#REF!</definedName>
    <definedName name="Pscape1a">#REF!</definedName>
    <definedName name="Pscape1b" localSheetId="22">#REF!</definedName>
    <definedName name="Pscape1b">#REF!</definedName>
    <definedName name="Psubs1a" localSheetId="22">#REF!</definedName>
    <definedName name="Psubs1a">#REF!</definedName>
    <definedName name="Psubs1b" localSheetId="22">#REF!</definedName>
    <definedName name="Psubs1b">#REF!</definedName>
    <definedName name="PubAccess" localSheetId="22">HU!#REF!</definedName>
    <definedName name="PubAccess" localSheetId="2">[1]PU!$G$9</definedName>
    <definedName name="Public">OF!$E$29</definedName>
    <definedName name="RAMSAR" localSheetId="22">OF!#REF!</definedName>
    <definedName name="RAMSAR">OF!#REF!</definedName>
    <definedName name="RaptorNest">OF!$E$30</definedName>
    <definedName name="Rare11" localSheetId="22">AM!#REF!</definedName>
    <definedName name="Rare11" localSheetId="2">[1]AM!$G$232</definedName>
    <definedName name="Rare12" localSheetId="22">#REF!</definedName>
    <definedName name="Rare12" localSheetId="2">[1]WBF!$G$170</definedName>
    <definedName name="Rare13" localSheetId="22">FIRE!#REF!</definedName>
    <definedName name="Rare13" localSheetId="2">[1]WBN!$G$199</definedName>
    <definedName name="Rare14" localSheetId="22">SBRM!#REF!</definedName>
    <definedName name="Rare14" localSheetId="2">[1]SBM!$G$199</definedName>
    <definedName name="rare8" localSheetId="22">INV!#REF!</definedName>
    <definedName name="rare8" localSheetId="2">[1]INV!$G$144</definedName>
    <definedName name="RareAll" localSheetId="22">#REF!</definedName>
    <definedName name="RareAll" localSheetId="2">[1]CQ!$G$76</definedName>
    <definedName name="RareAM">AM!$G$128</definedName>
    <definedName name="RareAmphib">AM!#REF!</definedName>
    <definedName name="RareBirdUse">OF!$E$31</definedName>
    <definedName name="rarecommu" localSheetId="22">#REF!</definedName>
    <definedName name="rarecommu" localSheetId="2">[1]POL!$G$123</definedName>
    <definedName name="RareComPD" localSheetId="22">PH!#REF!</definedName>
    <definedName name="RareComPD">PH!#REF!</definedName>
    <definedName name="RareFish">FH!$G$110</definedName>
    <definedName name="RareFNA" localSheetId="22">FH!#REF!</definedName>
    <definedName name="RareFNA" localSheetId="2">[1]FR!$G$106</definedName>
    <definedName name="RareFR" localSheetId="22">FH!#REF!</definedName>
    <definedName name="RareFR">FH!#REF!</definedName>
    <definedName name="rareherb" localSheetId="22">#REF!</definedName>
    <definedName name="rareherb" localSheetId="2">[1]POL!$G$122</definedName>
    <definedName name="RarePcom" localSheetId="22">PH!#REF!</definedName>
    <definedName name="RarePcom" localSheetId="2">[1]PD!$G$183</definedName>
    <definedName name="RarePlant">PH!#REF!</definedName>
    <definedName name="RarePlant2">PH!$G$172</definedName>
    <definedName name="RarePlant20">PH!$G$173</definedName>
    <definedName name="RarePlantRange">OF!#REF!</definedName>
    <definedName name="RarePspp" localSheetId="22">PH!#REF!</definedName>
    <definedName name="RarePspp" localSheetId="2">[1]PD!$G$178</definedName>
    <definedName name="RareSBM">SBRM!$G$144</definedName>
    <definedName name="RareSpPD" localSheetId="22">PH!#REF!</definedName>
    <definedName name="RareSpPD">PH!#REF!</definedName>
    <definedName name="RareType" localSheetId="22">#REF!</definedName>
    <definedName name="RareType" localSheetId="2">#REF!</definedName>
    <definedName name="RareTypePD" localSheetId="22">PH!#REF!</definedName>
    <definedName name="RareTypePD">PH!#REF!</definedName>
    <definedName name="RareWB">WB!$G$153</definedName>
    <definedName name="RareWB13" localSheetId="22">FIRE!#REF!</definedName>
    <definedName name="RareWB13">WB!#REF!</definedName>
    <definedName name="RareWclass_S" localSheetId="22">#REF!</definedName>
    <definedName name="RareWclass_S">#REF!</definedName>
    <definedName name="RareWclass0" localSheetId="22">#REF!</definedName>
    <definedName name="RareWclass0">#REF!</definedName>
    <definedName name="RareWclass11" localSheetId="22">AM!#REF!</definedName>
    <definedName name="RareWclass11">AM!#REF!</definedName>
    <definedName name="RareWclass12" localSheetId="22">#REF!</definedName>
    <definedName name="RareWclass12">#REF!</definedName>
    <definedName name="RareWclass13" localSheetId="22">FIRE!#REF!</definedName>
    <definedName name="RareWclass13">WB!#REF!</definedName>
    <definedName name="RareWclass14" localSheetId="22">SBRM!#REF!</definedName>
    <definedName name="RareWclass14">SBRM!#REF!</definedName>
    <definedName name="RareWclass8" localSheetId="22">INV!#REF!</definedName>
    <definedName name="RareWclass8">INV!#REF!</definedName>
    <definedName name="RareWclassPD" localSheetId="22">PH!#REF!</definedName>
    <definedName name="RareWclassPD">PH!#REF!</definedName>
    <definedName name="RdBox" localSheetId="22">#REF!</definedName>
    <definedName name="RdBox" localSheetId="2">[1]STR!$G$61</definedName>
    <definedName name="RdBox14" localSheetId="22">SBRM!#REF!</definedName>
    <definedName name="RdBox14" localSheetId="2">[1]SBM!$G$108</definedName>
    <definedName name="RdCirc11">[2]AM!$G$206</definedName>
    <definedName name="RdDens1" localSheetId="22">WS!#REF!</definedName>
    <definedName name="RdDens1">WS!#REF!</definedName>
    <definedName name="RdDens11" localSheetId="22">AM!#REF!</definedName>
    <definedName name="RdDens11">AM!#REF!</definedName>
    <definedName name="RdDens14" localSheetId="22">SBRM!#REF!</definedName>
    <definedName name="RdDens14">SBRM!#REF!</definedName>
    <definedName name="RdDens1k">OF!$E$32</definedName>
    <definedName name="RdDens2" localSheetId="22">SR!#REF!</definedName>
    <definedName name="RdDens2">SR!#REF!</definedName>
    <definedName name="RdDens3" localSheetId="22">PR!#REF!</definedName>
    <definedName name="RdDens3">PR!#REF!</definedName>
    <definedName name="RdDens4" localSheetId="22">NR!#REF!</definedName>
    <definedName name="RdDens4">NR!#REF!</definedName>
    <definedName name="RdDens5k" localSheetId="22">OF!#REF!</definedName>
    <definedName name="RdDens5k">OF!#REF!</definedName>
    <definedName name="RdDens7" localSheetId="22">WC!#REF!</definedName>
    <definedName name="RdDens7">WC!#REF!</definedName>
    <definedName name="RdDensCA" localSheetId="22">OF!#REF!</definedName>
    <definedName name="RdDensCA">OF!#REF!</definedName>
    <definedName name="RdDensPD" localSheetId="22">PH!#REF!</definedName>
    <definedName name="RdDensPD">PH!#REF!</definedName>
    <definedName name="RdDensPU" localSheetId="22">HU!#REF!</definedName>
    <definedName name="RdDensPU">HU!#REF!</definedName>
    <definedName name="RdDensS" localSheetId="22">#REF!</definedName>
    <definedName name="RdDensS">#REF!</definedName>
    <definedName name="RdDis11" localSheetId="22">AM!#REF!</definedName>
    <definedName name="RdDis11" localSheetId="2">[1]AM!$G$167</definedName>
    <definedName name="RdDis13" localSheetId="22">FIRE!#REF!</definedName>
    <definedName name="RdDis13" localSheetId="2">[1]WBN!$G$179</definedName>
    <definedName name="RecPot" localSheetId="22">HU!#REF!</definedName>
    <definedName name="RecPot">HU!#REF!</definedName>
    <definedName name="RecreaPoten" localSheetId="2">[1]PU!$G$16</definedName>
    <definedName name="RecreaPoten">HU!$G$29</definedName>
    <definedName name="RecUse" localSheetId="22">#REF!</definedName>
    <definedName name="RecUse">#REF!</definedName>
    <definedName name="REDOX1A">NR!$G$142</definedName>
    <definedName name="REDOX1B">NR!#REF!</definedName>
    <definedName name="Redox4" localSheetId="22">NR!#REF!</definedName>
    <definedName name="Redox4">NR!#REF!</definedName>
    <definedName name="RegInv" localSheetId="22">OF!#REF!</definedName>
    <definedName name="RegInv">OF!#REF!</definedName>
    <definedName name="Reserve">OF!$E$33</definedName>
    <definedName name="ResFish" localSheetId="22">INV!#REF!</definedName>
    <definedName name="ResFish" localSheetId="2">[1]INV!$G$160</definedName>
    <definedName name="ResFishScore2_" localSheetId="22">SFS!#REF!</definedName>
    <definedName name="ResFishScore2_">SFS!#REF!</definedName>
    <definedName name="RESIST1a">WS!$G$111</definedName>
    <definedName name="Resist1b">WS!#REF!</definedName>
    <definedName name="RichScape11">INV!#REF!</definedName>
    <definedName name="RipFloodpl">OF!$E$34</definedName>
    <definedName name="RoadCirc11" localSheetId="22">AM!#REF!</definedName>
    <definedName name="RoadCirc11" localSheetId="2">[1]AM!$G$166</definedName>
    <definedName name="RoadDist" localSheetId="22">#REF!</definedName>
    <definedName name="RoadDist" localSheetId="2">#REF!</definedName>
    <definedName name="Rock0" localSheetId="22">#REF!</definedName>
    <definedName name="Rock0">#REF!</definedName>
    <definedName name="Rock15">PH!$G$151</definedName>
    <definedName name="Runoff" localSheetId="22">OF!#REF!</definedName>
    <definedName name="Runoff">OF!#REF!</definedName>
    <definedName name="Runoff1" localSheetId="22">WS!#REF!</definedName>
    <definedName name="Runoff1">WS!#REF!</definedName>
    <definedName name="Runoff10" localSheetId="22">FH!#REF!</definedName>
    <definedName name="Runoff10">FH!#REF!</definedName>
    <definedName name="Runoff11" localSheetId="22">AM!#REF!</definedName>
    <definedName name="Runoff11">AM!#REF!</definedName>
    <definedName name="Runoff15" localSheetId="22">PH!#REF!</definedName>
    <definedName name="Runoff15">PH!#REF!</definedName>
    <definedName name="Runoff2" localSheetId="22">SR!#REF!</definedName>
    <definedName name="Runoff2">SR!#REF!</definedName>
    <definedName name="Runoff3" localSheetId="22">PR!#REF!</definedName>
    <definedName name="Runoff3">PR!#REF!</definedName>
    <definedName name="Runoff4" localSheetId="22">NR!#REF!</definedName>
    <definedName name="Runoff4">NR!#REF!</definedName>
    <definedName name="Runoff7" localSheetId="22">WC!#REF!</definedName>
    <definedName name="Runoff7">WC!#REF!</definedName>
    <definedName name="Runoff8" localSheetId="22">INV!#REF!</definedName>
    <definedName name="Runoff8">INV!#REF!</definedName>
    <definedName name="S1A" localSheetId="22">S!#REF!</definedName>
    <definedName name="S1A">S!#REF!</definedName>
    <definedName name="S2A" localSheetId="22">S!#REF!</definedName>
    <definedName name="S2A">S!#REF!</definedName>
    <definedName name="S2B" localSheetId="22">S!#REF!</definedName>
    <definedName name="S2B">S!#REF!</definedName>
    <definedName name="S2C" localSheetId="22">S!#REF!</definedName>
    <definedName name="S2C">S!#REF!</definedName>
    <definedName name="S3A" localSheetId="22">S!#REF!</definedName>
    <definedName name="S3A">S!#REF!</definedName>
    <definedName name="S3B" localSheetId="22">S!#REF!</definedName>
    <definedName name="S3B">S!#REF!</definedName>
    <definedName name="S3C" localSheetId="22">S!#REF!</definedName>
    <definedName name="S3C">S!#REF!</definedName>
    <definedName name="S4A" localSheetId="22">S!#REF!</definedName>
    <definedName name="S4A">S!#REF!</definedName>
    <definedName name="S4B" localSheetId="22">S!#REF!</definedName>
    <definedName name="S4B">S!#REF!</definedName>
    <definedName name="S4C" localSheetId="22">S!#REF!</definedName>
    <definedName name="S4C">S!#REF!</definedName>
    <definedName name="S5A" localSheetId="22">S!#REF!</definedName>
    <definedName name="S5A">S!#REF!</definedName>
    <definedName name="S5B" localSheetId="22">S!#REF!</definedName>
    <definedName name="S5B">S!#REF!</definedName>
    <definedName name="S5C" localSheetId="22">S!#REF!</definedName>
    <definedName name="S5C">S!#REF!</definedName>
    <definedName name="s6a" localSheetId="22">S!#REF!</definedName>
    <definedName name="s6a">S!#REF!</definedName>
    <definedName name="s6a1" localSheetId="22">S!#REF!</definedName>
    <definedName name="s6a1">S!#REF!</definedName>
    <definedName name="s6b" localSheetId="22">S!#REF!</definedName>
    <definedName name="s6b">S!#REF!</definedName>
    <definedName name="S7A" localSheetId="22">S!#REF!</definedName>
    <definedName name="S7A">S!#REF!</definedName>
    <definedName name="S7B" localSheetId="22">S!#REF!</definedName>
    <definedName name="S7B">S!#REF!</definedName>
    <definedName name="S7C" localSheetId="22">S!#REF!</definedName>
    <definedName name="S7C">S!#REF!</definedName>
    <definedName name="S8A" localSheetId="22">S!#REF!</definedName>
    <definedName name="S8A">S!#REF!</definedName>
    <definedName name="S8A1" localSheetId="22">S!#REF!</definedName>
    <definedName name="S8A1">S!#REF!</definedName>
    <definedName name="S8B" localSheetId="22">S!#REF!</definedName>
    <definedName name="S8B">S!#REF!</definedName>
    <definedName name="S8C" localSheetId="22">S!#REF!</definedName>
    <definedName name="S8C">S!#REF!</definedName>
    <definedName name="s9a" localSheetId="22">S!#REF!</definedName>
    <definedName name="s9a">S!#REF!</definedName>
    <definedName name="s9b" localSheetId="22">S!#REF!</definedName>
    <definedName name="s9b">S!#REF!</definedName>
    <definedName name="s9c" localSheetId="22">S!#REF!</definedName>
    <definedName name="s9c">S!#REF!</definedName>
    <definedName name="Salin10" localSheetId="22">FH!#REF!</definedName>
    <definedName name="Salin10">FH!#REF!</definedName>
    <definedName name="Salin11">AM!$G$90</definedName>
    <definedName name="Salin13" localSheetId="22">FIRE!#REF!</definedName>
    <definedName name="Salin13">WB!#REF!</definedName>
    <definedName name="Salin3" localSheetId="2">[1]PR!$G$4</definedName>
    <definedName name="Salin3">PR!$G$76</definedName>
    <definedName name="Salin4" localSheetId="22">NR!#REF!</definedName>
    <definedName name="Salin4">NR!#REF!</definedName>
    <definedName name="Salin5" localSheetId="22">#REF!</definedName>
    <definedName name="Salin5">#REF!</definedName>
    <definedName name="Salin6" localSheetId="22">OE!#REF!</definedName>
    <definedName name="Salin6" localSheetId="2">[1]OE!$G$4</definedName>
    <definedName name="Salin9" localSheetId="22">#REF!</definedName>
    <definedName name="Salin9" localSheetId="2">[1]FA!#REF!</definedName>
    <definedName name="Saline11" localSheetId="22">AM!#REF!</definedName>
    <definedName name="Saline11" localSheetId="2">[1]AM!#REF!</definedName>
    <definedName name="Salinity11" localSheetId="22">AM!#REF!</definedName>
    <definedName name="Salinity11" localSheetId="2">[1]AM!#REF!</definedName>
    <definedName name="Salinity2" localSheetId="22">SR!#REF!</definedName>
    <definedName name="Salinity2" localSheetId="2">[1]SR!$G$3</definedName>
    <definedName name="SalinPD" localSheetId="22">PH!#REF!</definedName>
    <definedName name="SalinPD" localSheetId="2">[1]PD!$G$15</definedName>
    <definedName name="Salmon5" localSheetId="22">#REF!</definedName>
    <definedName name="Salmon5">#REF!</definedName>
    <definedName name="SalmonShedPS" localSheetId="22">#REF!</definedName>
    <definedName name="SalmonShedPS">#REF!</definedName>
    <definedName name="SalmonShedPS2" localSheetId="22">#REF!</definedName>
    <definedName name="SalmonShedPS2">#REF!</definedName>
    <definedName name="SalmoShed9" localSheetId="22">#REF!</definedName>
    <definedName name="SalmoShed9">#REF!</definedName>
    <definedName name="SatPct_S" localSheetId="22">#REF!</definedName>
    <definedName name="SatPct_S">#REF!</definedName>
    <definedName name="SatPct0" localSheetId="22">#REF!</definedName>
    <definedName name="SatPct0">#REF!</definedName>
    <definedName name="SatPct10">FH!$G$14</definedName>
    <definedName name="SatPct11">AM!$G$48</definedName>
    <definedName name="SatPct12" localSheetId="22">#REF!</definedName>
    <definedName name="SatPct12">#REF!</definedName>
    <definedName name="SatPct13" localSheetId="22">FIRE!#REF!</definedName>
    <definedName name="SatPct13">WB!$G$53</definedName>
    <definedName name="SatPct14">SBRM!$G$86</definedName>
    <definedName name="SatPct15">PH!#REF!</definedName>
    <definedName name="SatPct2v" localSheetId="22">SR!#REF!</definedName>
    <definedName name="SatPct2v">SR!#REF!</definedName>
    <definedName name="SatPct3">PR!$G$31</definedName>
    <definedName name="SatPct4">NR!$G$52</definedName>
    <definedName name="SatPct7">WC!$G$15</definedName>
    <definedName name="SatPct8">INV!$G$60</definedName>
    <definedName name="SatPct9" localSheetId="22">#REF!</definedName>
    <definedName name="SatPct9">#REF!</definedName>
    <definedName name="SatPctPD">PH!#REF!</definedName>
    <definedName name="Satur10">FH!$D$14</definedName>
    <definedName name="SAV_LT5" localSheetId="22">#REF!</definedName>
    <definedName name="SAV_LT5">#REF!</definedName>
    <definedName name="SAV1pd" localSheetId="22">PH!#REF!</definedName>
    <definedName name="SAV1pd" localSheetId="2">[1]PD!$G$46</definedName>
    <definedName name="sav2pd" localSheetId="22">PH!#REF!</definedName>
    <definedName name="sav2pd" localSheetId="2">[1]PD!$G$50</definedName>
    <definedName name="SAVdom1" localSheetId="22">#REF!</definedName>
    <definedName name="SAVdom1">#REF!</definedName>
    <definedName name="SAVpct3" localSheetId="22">PR!#REF!</definedName>
    <definedName name="SAVpct3" localSheetId="2">[1]PR!#REF!</definedName>
    <definedName name="SAVpct5" localSheetId="22">#REF!</definedName>
    <definedName name="SAVpct5" localSheetId="2">[1]CS!#REF!</definedName>
    <definedName name="SAVpctS" localSheetId="22">#REF!</definedName>
    <definedName name="SAVpctS">#REF!</definedName>
    <definedName name="SAVsens1" localSheetId="22">#REF!</definedName>
    <definedName name="SAVsens1" localSheetId="2">[1]Sen!$G$48</definedName>
    <definedName name="SAVsens1_C" localSheetId="22">#REF!</definedName>
    <definedName name="SAVsens1_C" localSheetId="2">[1]CQ!$G$23</definedName>
    <definedName name="SAVsens2_C" localSheetId="22">#REF!</definedName>
    <definedName name="SAVsens2_C" localSheetId="2">[1]CQ!$G$27</definedName>
    <definedName name="SAVsens2_S" localSheetId="22">#REF!</definedName>
    <definedName name="SAVsens2_S" localSheetId="2">[1]Sen!$G$52</definedName>
    <definedName name="SAVubq1" localSheetId="22">#REF!</definedName>
    <definedName name="SAVubq1">#REF!</definedName>
    <definedName name="SAVubq2" localSheetId="22">#REF!</definedName>
    <definedName name="SAVubq2" localSheetId="2">[1]Sen!$G$56</definedName>
    <definedName name="SBhab13" localSheetId="22">FIRE!#REF!</definedName>
    <definedName name="SBhab13">WB!$G$42</definedName>
    <definedName name="SBMscore" localSheetId="22">SBRM!#REF!</definedName>
    <definedName name="SBMscore">SBRM!#REF!</definedName>
    <definedName name="SBMscore10" localSheetId="22">AM!#REF!</definedName>
    <definedName name="SBMscore10">AM!#REF!</definedName>
    <definedName name="SBMscore8" localSheetId="22">INV!#REF!</definedName>
    <definedName name="SBMscore8">INV!#REF!</definedName>
    <definedName name="SBMscore9" localSheetId="22">#REF!</definedName>
    <definedName name="SBMscore9">#REF!</definedName>
    <definedName name="SBMsiteS" localSheetId="22">#REF!</definedName>
    <definedName name="SBMsiteS">#REF!</definedName>
    <definedName name="SBstaging">OF!#REF!</definedName>
    <definedName name="ScapeLU11" localSheetId="22">AM!#REF!</definedName>
    <definedName name="ScapeLU11" localSheetId="2">[1]AM!$G$180</definedName>
    <definedName name="ScapeLU14" localSheetId="22">SBRM!#REF!</definedName>
    <definedName name="ScapeLU14" localSheetId="2">[1]SBM!$G$139</definedName>
    <definedName name="SciUse" localSheetId="22">HU!#REF!</definedName>
    <definedName name="SciUse" localSheetId="2">[1]PU!$G$20</definedName>
    <definedName name="SciUses" localSheetId="22">OF!#REF!</definedName>
    <definedName name="SciUses">OF!#REF!</definedName>
    <definedName name="ScorePLDf" localSheetId="22">PH!#REF!</definedName>
    <definedName name="ScorePLDf">PH!#REF!</definedName>
    <definedName name="ScorePOLf" localSheetId="22">PH!#REF!</definedName>
    <definedName name="ScorePOLf" localSheetId="2">[1]PD!$G$199</definedName>
    <definedName name="ScoreSBM" localSheetId="22">PH!#REF!</definedName>
    <definedName name="ScoreSBM">PH!#REF!</definedName>
    <definedName name="ScoreSBMf" localSheetId="22">PH!#REF!</definedName>
    <definedName name="ScoreSBMf" localSheetId="2">[1]PD!$G$201</definedName>
    <definedName name="ScoreSubsis" localSheetId="22">PH!#REF!</definedName>
    <definedName name="ScoreSubsis">PH!#REF!</definedName>
    <definedName name="ScoreWBFf" localSheetId="22">PH!#REF!</definedName>
    <definedName name="ScoreWBFf" localSheetId="2">[1]PD!$G$200</definedName>
    <definedName name="Scum15" localSheetId="22">#REF!</definedName>
    <definedName name="Scum15" localSheetId="2">[1]CQ!$G$20</definedName>
    <definedName name="Scum3" localSheetId="22">PR!#REF!</definedName>
    <definedName name="Scum3" localSheetId="2">[1]PR!$G$74</definedName>
    <definedName name="Scum9" localSheetId="22">#REF!</definedName>
    <definedName name="Scum9" localSheetId="2">[1]FA!$G$91</definedName>
    <definedName name="SeasPct1" localSheetId="2">[1]WS!$G$36</definedName>
    <definedName name="SeasPct1">WS!$G$37</definedName>
    <definedName name="SeasPct2" localSheetId="2">[1]SR!$G$24</definedName>
    <definedName name="SeasPct2">SR!$G$16</definedName>
    <definedName name="SeasPct8" localSheetId="2">[1]INV!$G$37</definedName>
    <definedName name="SeasPct8">INV!$G$73</definedName>
    <definedName name="SeasTime1" localSheetId="22">WS!#REF!</definedName>
    <definedName name="SeasTime1" localSheetId="2">[1]WS!#REF!</definedName>
    <definedName name="SeasTime11" localSheetId="22">AM!#REF!</definedName>
    <definedName name="SeasTime11" localSheetId="2">[1]AM!$G$33</definedName>
    <definedName name="SeasTime13" localSheetId="22">FIRE!#REF!</definedName>
    <definedName name="SeasTime13" localSheetId="2">[1]WBN!#REF!</definedName>
    <definedName name="SeasTime8" localSheetId="22">INV!#REF!</definedName>
    <definedName name="SeasTime8" localSheetId="2">[1]INV!$G$43</definedName>
    <definedName name="SeasTimeV1" localSheetId="22">WS!#REF!</definedName>
    <definedName name="SeasTimeV1" localSheetId="2">[1]WS!#REF!</definedName>
    <definedName name="SeasTiming10" localSheetId="22">FH!#REF!</definedName>
    <definedName name="SeasTiming10" localSheetId="2">[1]FR!$G$44</definedName>
    <definedName name="SeasTiming9" localSheetId="22">#REF!</definedName>
    <definedName name="SeasTiming9">#REF!</definedName>
    <definedName name="SeasW_S" localSheetId="22">#REF!</definedName>
    <definedName name="SeasW_S" localSheetId="2">[1]Sen!$G$12</definedName>
    <definedName name="SeasWpct11" localSheetId="22">AM!#REF!</definedName>
    <definedName name="SeasWpct11" localSheetId="2">[1]AM!$G$27</definedName>
    <definedName name="SeasWpct12" localSheetId="22">#REF!</definedName>
    <definedName name="SeasWpct12" localSheetId="2">[1]WBF!$G$24</definedName>
    <definedName name="SeasWpct13" localSheetId="22">FIRE!#REF!</definedName>
    <definedName name="SeasWpct13">WB!$G$67</definedName>
    <definedName name="SeasWpct3" localSheetId="22">PR!#REF!</definedName>
    <definedName name="SeasWpct3" localSheetId="2">[1]PR!#REF!</definedName>
    <definedName name="SeasWpct4" localSheetId="2">[1]NR!$G$31</definedName>
    <definedName name="SeasWpct4">NR!$G$65</definedName>
    <definedName name="SeasWpct5" localSheetId="22">#REF!</definedName>
    <definedName name="SeasWpct5" localSheetId="2">[1]CS!$G$35</definedName>
    <definedName name="SeasWpct6" localSheetId="2">[1]OE!$G$36</definedName>
    <definedName name="SeasWpct6">OE!$G$51</definedName>
    <definedName name="SeasWpct9" localSheetId="22">#REF!</definedName>
    <definedName name="SeasWpct9" localSheetId="2">[1]FA!$G$28</definedName>
    <definedName name="SeasWpctPD">PH!$G$96</definedName>
    <definedName name="SedCA8">INV!$G$151</definedName>
    <definedName name="SedDisturb20">PH!$G$176</definedName>
    <definedName name="Sedge14">SBRM!$G$77</definedName>
    <definedName name="Sedge5" localSheetId="22">#REF!</definedName>
    <definedName name="Sedge5">#REF!</definedName>
    <definedName name="sedgePD">PH!$G$77</definedName>
    <definedName name="SedIn10" localSheetId="22">FH!#REF!</definedName>
    <definedName name="SedIn10">FH!#REF!</definedName>
    <definedName name="SedIn2" localSheetId="22">SR!#REF!</definedName>
    <definedName name="SedIn2" localSheetId="2">[1]SR!$G$102</definedName>
    <definedName name="SedIn20" localSheetId="22">PH!#REF!</definedName>
    <definedName name="SedIn20">PH!#REF!</definedName>
    <definedName name="SedIn8" localSheetId="22">INV!#REF!</definedName>
    <definedName name="SedIn8" localSheetId="2">[1]INV!$G$140</definedName>
    <definedName name="SedIn9" localSheetId="22">#REF!</definedName>
    <definedName name="SedIn9" localSheetId="2">[1]FA!$G$119</definedName>
    <definedName name="SedLoad" localSheetId="22">#REF!</definedName>
    <definedName name="SedLoad" localSheetId="2">[1]STR!$G$7</definedName>
    <definedName name="SEDTRAP1A">PR!$G$114</definedName>
    <definedName name="SEDTRAP1B">PR!#REF!</definedName>
    <definedName name="SedUp2" localSheetId="22">SR!#REF!</definedName>
    <definedName name="SedUp2">SR!#REF!</definedName>
    <definedName name="SENS1" localSheetId="22">#REF!</definedName>
    <definedName name="SENS1" localSheetId="2">[1]Sen!$G$186</definedName>
    <definedName name="SENS2" localSheetId="22">#REF!</definedName>
    <definedName name="SENS2" localSheetId="2">[1]Sen!$G$187</definedName>
    <definedName name="SENS3" localSheetId="22">#REF!</definedName>
    <definedName name="SENS3" localSheetId="2">[1]Sen!$G$188</definedName>
    <definedName name="SENS4" localSheetId="22">#REF!</definedName>
    <definedName name="SENS4" localSheetId="2">[1]Sen!$G$189</definedName>
    <definedName name="SENS5" localSheetId="22">#REF!</definedName>
    <definedName name="SENS5">#REF!</definedName>
    <definedName name="SensAm">OF!$E$35</definedName>
    <definedName name="Shade10">FH!$G$27</definedName>
    <definedName name="SHADE1A">WC!$G$59</definedName>
    <definedName name="SHADE1B" localSheetId="22">WC!#REF!</definedName>
    <definedName name="SHADE1B">WC!#REF!</definedName>
    <definedName name="Shade6">OE!$G$45</definedName>
    <definedName name="Shade7" localSheetId="2">[1]T!$G$29</definedName>
    <definedName name="Shade7">WC!$G$21</definedName>
    <definedName name="Shade7w" localSheetId="22">#REF!</definedName>
    <definedName name="Shade7w">#REF!</definedName>
    <definedName name="Shade9" localSheetId="22">#REF!</definedName>
    <definedName name="Shade9" localSheetId="2">[1]FA!$G$70</definedName>
    <definedName name="ShadeIn7" localSheetId="22">WC!#REF!</definedName>
    <definedName name="ShadeIn7">WC!#REF!</definedName>
    <definedName name="ShedPos_S" localSheetId="22">#REF!</definedName>
    <definedName name="ShedPos_S" localSheetId="2">[1]Sen!$G$170</definedName>
    <definedName name="ShedPos1" localSheetId="22">WS!#REF!</definedName>
    <definedName name="ShedPos1" localSheetId="2">[1]WS!$G$75</definedName>
    <definedName name="ShedPos4" localSheetId="22">NR!#REF!</definedName>
    <definedName name="ShedPos4" localSheetId="2">[1]NR!$G$107</definedName>
    <definedName name="ShedWet2" localSheetId="22">SR!#REF!</definedName>
    <definedName name="ShedWet2" localSheetId="2">[1]SR!$G$81</definedName>
    <definedName name="Shoal2" localSheetId="22">SR!#REF!</definedName>
    <definedName name="Shoal2" localSheetId="2">[1]SR!$G$150</definedName>
    <definedName name="Shoaling" localSheetId="22">#REF!</definedName>
    <definedName name="Shoaling" localSheetId="2">#REF!</definedName>
    <definedName name="ShoalSS" localSheetId="22">SR!#REF!</definedName>
    <definedName name="ShoalSS">SR!#REF!</definedName>
    <definedName name="ShoreSlope11" localSheetId="22">AM!#REF!</definedName>
    <definedName name="ShoreSlope11" localSheetId="2">[1]AM!$G$60</definedName>
    <definedName name="ShoreSlope13" localSheetId="22">FIRE!#REF!</definedName>
    <definedName name="ShoreSlope13">WB!$G$104</definedName>
    <definedName name="ShrubCanop14">SBRM!#REF!</definedName>
    <definedName name="ShrubDiv14">SBRM!$G$60</definedName>
    <definedName name="ShrubDivPD" localSheetId="22">PH!#REF!</definedName>
    <definedName name="ShrubDivPD">PH!#REF!</definedName>
    <definedName name="ShrubDom0" localSheetId="22">#REF!</definedName>
    <definedName name="ShrubDom0">#REF!</definedName>
    <definedName name="ShrubDom1" localSheetId="22">#REF!</definedName>
    <definedName name="ShrubDom1">#REF!</definedName>
    <definedName name="ShrubHtDiv14" localSheetId="22">SBRM!#REF!</definedName>
    <definedName name="ShrubHtDiv14">SBRM!#REF!</definedName>
    <definedName name="ShrubHtDivS" localSheetId="22">#REF!</definedName>
    <definedName name="ShrubHtDivS">#REF!</definedName>
    <definedName name="ShrubPattS" localSheetId="22">#REF!</definedName>
    <definedName name="ShrubPattS">#REF!</definedName>
    <definedName name="ShrubSens1" localSheetId="22">#REF!</definedName>
    <definedName name="ShrubSens1" localSheetId="2">[1]Sen!$G$80</definedName>
    <definedName name="ShrubSens1_C" localSheetId="22">#REF!</definedName>
    <definedName name="ShrubSens1_C" localSheetId="2">[1]CQ!$G$55</definedName>
    <definedName name="ShrubSens1_S" localSheetId="22">#REF!</definedName>
    <definedName name="ShrubSens1_S" localSheetId="2">[1]Sen!#REF!</definedName>
    <definedName name="ShrubShaded" localSheetId="22">PH!#REF!</definedName>
    <definedName name="ShrubShaded">PH!#REF!</definedName>
    <definedName name="ShrubShaded11" localSheetId="22">AM!#REF!</definedName>
    <definedName name="ShrubShaded11">AM!#REF!</definedName>
    <definedName name="ShrubSubcan14" localSheetId="22">SBRM!#REF!</definedName>
    <definedName name="ShrubSubcan14">SBRM!#REF!</definedName>
    <definedName name="ShrubSun">PH!#REF!</definedName>
    <definedName name="ShrubSun11" localSheetId="22">AM!#REF!</definedName>
    <definedName name="ShrubSun11">AM!#REF!</definedName>
    <definedName name="ShrubUbq1" localSheetId="22">#REF!</definedName>
    <definedName name="ShrubUbq1">#REF!</definedName>
    <definedName name="ShurbHtDiv14">SBRM!#REF!</definedName>
    <definedName name="Size_S" localSheetId="22">#REF!</definedName>
    <definedName name="Size_S" localSheetId="2">[1]Sen!$G$163</definedName>
    <definedName name="Size0" localSheetId="22">#REF!</definedName>
    <definedName name="Size0" localSheetId="2">[1]POL!$G$95</definedName>
    <definedName name="Size12" localSheetId="22">#REF!</definedName>
    <definedName name="Size12" localSheetId="2">[1]WBF!$G$145</definedName>
    <definedName name="Size13" localSheetId="22">FIRE!#REF!</definedName>
    <definedName name="Size13" localSheetId="2">[1]WBN!$G$166</definedName>
    <definedName name="Size14" localSheetId="22">SBRM!#REF!</definedName>
    <definedName name="Size14" localSheetId="2">[1]SBM!$G$173</definedName>
    <definedName name="SizePD" localSheetId="22">PH!#REF!</definedName>
    <definedName name="SizePD">PH!#REF!</definedName>
    <definedName name="SlidePD" localSheetId="22">PH!#REF!</definedName>
    <definedName name="SlidePD">PH!#REF!</definedName>
    <definedName name="SlopeBuffer">OF!$E$36</definedName>
    <definedName name="SlopeUnif2" localSheetId="22">SR!#REF!</definedName>
    <definedName name="SlopeUnif2" localSheetId="2">[1]SR!#REF!</definedName>
    <definedName name="SlopeUnif3" localSheetId="22">PR!#REF!</definedName>
    <definedName name="SlopeUnif3" localSheetId="2">[1]PR!#REF!</definedName>
    <definedName name="SlopeUnif4" localSheetId="22">NR!#REF!</definedName>
    <definedName name="SlopeUnif4" localSheetId="2">[1]NR!#REF!</definedName>
    <definedName name="SlopeUnif5" localSheetId="22">#REF!</definedName>
    <definedName name="SlopeUnif5" localSheetId="2">[1]CS!#REF!</definedName>
    <definedName name="SlopeUnif6" localSheetId="22">OE!#REF!</definedName>
    <definedName name="SlopeUnif6" localSheetId="2">[1]OE!#REF!</definedName>
    <definedName name="SmallAA">F!$D$154</definedName>
    <definedName name="SnagB13" localSheetId="22">FIRE!#REF!</definedName>
    <definedName name="SnagB13">WB!$G$38</definedName>
    <definedName name="SnagD14">SBRM!$G$63</definedName>
    <definedName name="Snags0" localSheetId="22">#REF!</definedName>
    <definedName name="Snags0">#REF!</definedName>
    <definedName name="Snags14" localSheetId="22">SBRM!#REF!</definedName>
    <definedName name="Snags14" localSheetId="2">[1]SBM!#REF!</definedName>
    <definedName name="Snags15">PH!$G$56</definedName>
    <definedName name="Snow_S" localSheetId="22">#REF!</definedName>
    <definedName name="Snow_S">#REF!</definedName>
    <definedName name="Snow1" localSheetId="22">WS!#REF!</definedName>
    <definedName name="Snow1">WS!#REF!</definedName>
    <definedName name="Snow10" localSheetId="22">FH!#REF!</definedName>
    <definedName name="Snow10">FH!#REF!</definedName>
    <definedName name="Snow11" localSheetId="22">AM!#REF!</definedName>
    <definedName name="Snow11">AM!#REF!</definedName>
    <definedName name="Snow12" localSheetId="22">#REF!</definedName>
    <definedName name="Snow12">#REF!</definedName>
    <definedName name="Snow1a" localSheetId="22">WS!#REF!</definedName>
    <definedName name="Snow1a">WS!#REF!</definedName>
    <definedName name="Snow2" localSheetId="22">SR!#REF!</definedName>
    <definedName name="Snow2">SR!#REF!</definedName>
    <definedName name="Snow2_" localSheetId="22">SFS!#REF!</definedName>
    <definedName name="Snow2_">SFS!#REF!</definedName>
    <definedName name="Snow2a" localSheetId="22">SFS!#REF!</definedName>
    <definedName name="Snow2a">SFS!#REF!</definedName>
    <definedName name="Snow3" localSheetId="22">PR!#REF!</definedName>
    <definedName name="Snow3">PR!#REF!</definedName>
    <definedName name="Snow4" localSheetId="22">NR!#REF!</definedName>
    <definedName name="Snow4">NR!#REF!</definedName>
    <definedName name="Snow5" localSheetId="22">#REF!</definedName>
    <definedName name="Snow5">#REF!</definedName>
    <definedName name="Snow6" localSheetId="22">OE!#REF!</definedName>
    <definedName name="Snow6">OE!#REF!</definedName>
    <definedName name="SnowPD" localSheetId="22">PH!#REF!</definedName>
    <definedName name="SnowPD">PH!#REF!</definedName>
    <definedName name="Snows" localSheetId="22">#REF!</definedName>
    <definedName name="Snows">#REF!</definedName>
    <definedName name="Snows_S" localSheetId="22">#REF!</definedName>
    <definedName name="Snows_S">#REF!</definedName>
    <definedName name="Snows_S2" localSheetId="22">#REF!</definedName>
    <definedName name="Snows_S2">#REF!</definedName>
    <definedName name="Soil2_">SFS!$G$20</definedName>
    <definedName name="SoilAlt2">SR!$G$95</definedName>
    <definedName name="SoilAlt3">PR!$G$108</definedName>
    <definedName name="SoilDisturb" localSheetId="22">#REF!</definedName>
    <definedName name="SoilDisturb" localSheetId="2">[1]STR!$G$8</definedName>
    <definedName name="soildisturb0" localSheetId="22">#REF!</definedName>
    <definedName name="soildisturb0" localSheetId="2">[1]POL!$G$102</definedName>
    <definedName name="SoilDisturb11" localSheetId="22">AM!#REF!</definedName>
    <definedName name="SoilDisturb11" localSheetId="2">[1]AM!$G$224</definedName>
    <definedName name="SoilDisturb15" localSheetId="2">[1]PD!$D$171</definedName>
    <definedName name="SoilDisturb4" localSheetId="2">[1]NR!$G$104</definedName>
    <definedName name="SoilDisturb4">NR!$G$133</definedName>
    <definedName name="SoilDisturb5" localSheetId="22">#REF!</definedName>
    <definedName name="SoilDisturb5" localSheetId="2">[1]CS!$G$136</definedName>
    <definedName name="SoilDisturb6" localSheetId="22">OE!#REF!</definedName>
    <definedName name="SoilDisturb6" localSheetId="2">[1]OE!$G$115</definedName>
    <definedName name="SoilDisturb8" localSheetId="2">[1]INV!$G$141</definedName>
    <definedName name="SoilDisturb8">INV!$G$152</definedName>
    <definedName name="SoilOrgPct">OF!#REF!</definedName>
    <definedName name="SoilTex">OF!#REF!</definedName>
    <definedName name="SoilTex_NROE">OF!#REF!</definedName>
    <definedName name="SoilTex_PR">OF!#REF!</definedName>
    <definedName name="SoilTex_S" localSheetId="22">#REF!</definedName>
    <definedName name="SoilTex_S" localSheetId="2">[1]Sen!$G$110</definedName>
    <definedName name="SoilTex_WS">OF!#REF!</definedName>
    <definedName name="SoilTex1">WS!$G$31</definedName>
    <definedName name="SoilTex13">FIRE!#REF!</definedName>
    <definedName name="SoilTex3" localSheetId="2">[1]PR!$G$86</definedName>
    <definedName name="SoilTex3">PR!$G$24</definedName>
    <definedName name="SoilTex4" localSheetId="2">[1]NR!$G$87</definedName>
    <definedName name="SoilTex4">NR!$G$45</definedName>
    <definedName name="SoilTex5" localSheetId="22">#REF!</definedName>
    <definedName name="SoilTex5" localSheetId="2">[1]CS!$G$112</definedName>
    <definedName name="SoilTex6">OE!$G$38</definedName>
    <definedName name="SoilTex8" localSheetId="22">INV!#REF!</definedName>
    <definedName name="SoilTex8" localSheetId="2">[1]INV!#REF!</definedName>
    <definedName name="SoilTexPD" localSheetId="2">[1]PD!$G$95</definedName>
    <definedName name="SoilTexPD">PH!$G$64</definedName>
    <definedName name="SOLAR1A">WC!#REF!</definedName>
    <definedName name="SOLAR1B">WC!#REF!</definedName>
    <definedName name="SolarHeat" localSheetId="22">WC!#REF!</definedName>
    <definedName name="SolarHeat">WC!#REF!</definedName>
    <definedName name="SolarHeatWarming" localSheetId="22">#REF!</definedName>
    <definedName name="SolarHeatWarming">#REF!</definedName>
    <definedName name="SongbMam" localSheetId="22">INV!#REF!</definedName>
    <definedName name="SongbMam" localSheetId="2">[1]INV!$G$164</definedName>
    <definedName name="SPA" localSheetId="22">HU!#REF!</definedName>
    <definedName name="SPA">HU!#REF!</definedName>
    <definedName name="SppArea" localSheetId="22">PH!#REF!</definedName>
    <definedName name="SppArea">PH!#REF!</definedName>
    <definedName name="SpPatch14" localSheetId="22">SBRM!#REF!</definedName>
    <definedName name="SpPatch14" localSheetId="2">[1]SBM!#REF!</definedName>
    <definedName name="SpPatchy8" localSheetId="22">INV!#REF!</definedName>
    <definedName name="SpPatchy8" localSheetId="2">[1]INV!#REF!</definedName>
    <definedName name="Spring">OF!#REF!</definedName>
    <definedName name="SSubq2" localSheetId="22">#REF!</definedName>
    <definedName name="SSubq2" localSheetId="2">[1]Sen!$G$89</definedName>
    <definedName name="Stain8">INV!$G$110</definedName>
    <definedName name="Stained11" localSheetId="22">AM!#REF!</definedName>
    <definedName name="Stained11">AM!#REF!</definedName>
    <definedName name="Stained6" localSheetId="22">OE!#REF!</definedName>
    <definedName name="Stained6">OE!#REF!</definedName>
    <definedName name="Steep1">WS!$D$91</definedName>
    <definedName name="Steep13" localSheetId="22">FIRE!#REF!</definedName>
    <definedName name="Steep13" localSheetId="2">[1]WBN!$D$109</definedName>
    <definedName name="Steep13">WB!$D$126</definedName>
    <definedName name="Steep1ws">WS!$D$91</definedName>
    <definedName name="Steep2ws">WS!$D$92</definedName>
    <definedName name="Stess11" localSheetId="22">AM!#REF!</definedName>
    <definedName name="Stess11">AM!#REF!</definedName>
    <definedName name="STORE1a">WS!$G$108</definedName>
    <definedName name="Store1b" localSheetId="22">WS!#REF!</definedName>
    <definedName name="Store1b">WS!#REF!</definedName>
    <definedName name="StrataDiv" localSheetId="22">#REF!</definedName>
    <definedName name="StrataDiv">#REF!</definedName>
    <definedName name="StreamInGrad3" localSheetId="22">PR!#REF!</definedName>
    <definedName name="StreamInGrad3">PR!#REF!</definedName>
    <definedName name="Stress10" localSheetId="22">FH!#REF!</definedName>
    <definedName name="Stress10">FH!#REF!</definedName>
    <definedName name="Stress11" localSheetId="22">AM!#REF!</definedName>
    <definedName name="Stress11">AM!#REF!</definedName>
    <definedName name="Stress12" localSheetId="22">#REF!</definedName>
    <definedName name="Stress12">#REF!</definedName>
    <definedName name="Stress13" localSheetId="22">FIRE!#REF!</definedName>
    <definedName name="Stress13">WB!#REF!</definedName>
    <definedName name="Stress14" localSheetId="22">SBRM!#REF!</definedName>
    <definedName name="Stress14">SBRM!#REF!</definedName>
    <definedName name="Stress9" localSheetId="22">#REF!</definedName>
    <definedName name="Stress9">#REF!</definedName>
    <definedName name="StressA1a">AM!$G$142</definedName>
    <definedName name="StressA1b" localSheetId="22">AM!#REF!</definedName>
    <definedName name="StressA1b">AM!#REF!</definedName>
    <definedName name="StressF1a">FH!$G$128</definedName>
    <definedName name="StressF1b" localSheetId="22">FH!#REF!</definedName>
    <definedName name="StressF1b">FH!#REF!</definedName>
    <definedName name="StressI1a">INV!$G$164</definedName>
    <definedName name="StressI1b" localSheetId="22">INV!#REF!</definedName>
    <definedName name="StressI1b">INV!#REF!</definedName>
    <definedName name="Stressors13" localSheetId="22">FIRE!#REF!</definedName>
    <definedName name="Stressors13">WB!#REF!</definedName>
    <definedName name="Stressors8" localSheetId="22">INV!#REF!</definedName>
    <definedName name="Stressors8">INV!#REF!</definedName>
    <definedName name="StressP1a" localSheetId="22">#REF!</definedName>
    <definedName name="StressP1a">#REF!</definedName>
    <definedName name="StressP1b" localSheetId="22">#REF!</definedName>
    <definedName name="StressP1b">#REF!</definedName>
    <definedName name="StressPD" localSheetId="22">PH!#REF!</definedName>
    <definedName name="StressPD">PH!#REF!</definedName>
    <definedName name="StressS1a">SBRM!$G$158</definedName>
    <definedName name="StressS1b" localSheetId="22">SBRM!#REF!</definedName>
    <definedName name="StressS1b">SBRM!#REF!</definedName>
    <definedName name="StressV1a">PH!$G$191</definedName>
    <definedName name="StressV1b" localSheetId="22">PH!#REF!</definedName>
    <definedName name="StressV1b">PH!#REF!</definedName>
    <definedName name="StressW1a" localSheetId="22">FIRE!#REF!</definedName>
    <definedName name="StressW1a">WB!$G$167</definedName>
    <definedName name="StressW1b" localSheetId="22">FIRE!#REF!</definedName>
    <definedName name="StressW1b">WB!#REF!</definedName>
    <definedName name="struc0" localSheetId="22">#REF!</definedName>
    <definedName name="struc0" localSheetId="2">[1]POL!#REF!</definedName>
    <definedName name="Struc10" localSheetId="22">FH!#REF!</definedName>
    <definedName name="Struc10">FH!#REF!</definedName>
    <definedName name="Struc11" localSheetId="22">AM!#REF!</definedName>
    <definedName name="Struc11">AM!#REF!</definedName>
    <definedName name="Struc12" localSheetId="22">#REF!</definedName>
    <definedName name="Struc12">#REF!</definedName>
    <definedName name="Struc13" localSheetId="22">FIRE!#REF!</definedName>
    <definedName name="Struc13">WB!#REF!</definedName>
    <definedName name="Struc14" localSheetId="22">SBRM!#REF!</definedName>
    <definedName name="Struc14" localSheetId="2">[1]SBM!$D$77</definedName>
    <definedName name="Struc9" localSheetId="22">#REF!</definedName>
    <definedName name="Struc9">#REF!</definedName>
    <definedName name="StrucA" localSheetId="22">SBRM!#REF!</definedName>
    <definedName name="StrucA">SBRM!#REF!</definedName>
    <definedName name="StrucB" localSheetId="22">SBRM!#REF!</definedName>
    <definedName name="StrucB">SBRM!#REF!</definedName>
    <definedName name="Structure8" localSheetId="22">INV!#REF!</definedName>
    <definedName name="Structure8">INV!#REF!</definedName>
    <definedName name="Sub0Days">OF!$E$37</definedName>
    <definedName name="Subsist" localSheetId="22">#REF!</definedName>
    <definedName name="Subsist">#REF!</definedName>
    <definedName name="Subsist10" localSheetId="22">FH!#REF!</definedName>
    <definedName name="Subsist10">FH!#REF!</definedName>
    <definedName name="Subsist9" localSheetId="22">#REF!</definedName>
    <definedName name="Subsist9">#REF!</definedName>
    <definedName name="Subsurf" localSheetId="22">WS!#REF!</definedName>
    <definedName name="Subsurf">WS!#REF!</definedName>
    <definedName name="Subzero10" localSheetId="22">FH!#REF!</definedName>
    <definedName name="Subzero10">FH!#REF!</definedName>
    <definedName name="Subzero2" localSheetId="22">SR!#REF!</definedName>
    <definedName name="Subzero2">SR!#REF!</definedName>
    <definedName name="Subzero5" localSheetId="22">#REF!</definedName>
    <definedName name="Subzero5">#REF!</definedName>
    <definedName name="Sustain" localSheetId="22">#REF!</definedName>
    <definedName name="Sustain">#REF!</definedName>
    <definedName name="Sustain1" localSheetId="22">WS!#REF!</definedName>
    <definedName name="Sustain1" localSheetId="2">[1]WS!$G$106</definedName>
    <definedName name="Sustain11" localSheetId="22">AM!#REF!</definedName>
    <definedName name="Sustain11" localSheetId="2">[1]AM!$G$244</definedName>
    <definedName name="Sustain12" localSheetId="22">#REF!</definedName>
    <definedName name="Sustain12" localSheetId="2">[1]WBF!$G$181</definedName>
    <definedName name="Sustain13" localSheetId="22">FIRE!#REF!</definedName>
    <definedName name="Sustain13" localSheetId="2">[1]WBN!$G$211</definedName>
    <definedName name="sustain14" localSheetId="22">SBRM!#REF!</definedName>
    <definedName name="sustain14" localSheetId="2">[1]SBM!$G$211</definedName>
    <definedName name="Sustain2" localSheetId="22">SR!#REF!</definedName>
    <definedName name="Sustain2" localSheetId="2">[1]SR!$G$160</definedName>
    <definedName name="Sustain3" localSheetId="22">PR!#REF!</definedName>
    <definedName name="Sustain3" localSheetId="2">[1]PR!$G$156</definedName>
    <definedName name="Sustain4" localSheetId="22">NR!#REF!</definedName>
    <definedName name="Sustain4" localSheetId="2">[1]NR!$G$161</definedName>
    <definedName name="sustain8" localSheetId="22">INV!#REF!</definedName>
    <definedName name="sustain8" localSheetId="2">[1]INV!$G$155</definedName>
    <definedName name="SustainPD" localSheetId="22">PH!#REF!</definedName>
    <definedName name="SustainPD" localSheetId="2">[1]PD!$G$195</definedName>
    <definedName name="SwampMarshPct">OF!$E$38</definedName>
    <definedName name="SwampPct1K">OF!#REF!</definedName>
    <definedName name="SwampPct5K" localSheetId="22">OF!#REF!</definedName>
    <definedName name="SwampPct5K">OF!#REF!</definedName>
    <definedName name="SwampPctWet">OF!#REF!</definedName>
    <definedName name="Swater">F!$D$121</definedName>
    <definedName name="Swater2" localSheetId="22">SR!#REF!</definedName>
    <definedName name="Swater2">SR!#REF!</definedName>
    <definedName name="SWOpd">PH!#REF!</definedName>
    <definedName name="System" localSheetId="22">#REF!</definedName>
    <definedName name="System" localSheetId="2">#REF!</definedName>
    <definedName name="TEknown" localSheetId="22">#REF!</definedName>
    <definedName name="TEknown" localSheetId="2">#REF!</definedName>
    <definedName name="TEMP1A">NR!$G$136</definedName>
    <definedName name="TEMP1B">NR!#REF!</definedName>
    <definedName name="TEpredicted" localSheetId="22">#REF!</definedName>
    <definedName name="TEpredicted" localSheetId="2">#REF!</definedName>
    <definedName name="TerrFertilPD" localSheetId="22">PH!#REF!</definedName>
    <definedName name="TerrFertilPD">PH!#REF!</definedName>
    <definedName name="TerrStruc11" localSheetId="22">AM!#REF!</definedName>
    <definedName name="TerrStruc11">AM!#REF!</definedName>
    <definedName name="TEST1" localSheetId="22">S!#REF!</definedName>
    <definedName name="TEST1">S!#REF!</definedName>
    <definedName name="TEST10" localSheetId="22">S!#REF!</definedName>
    <definedName name="TEST10">S!#REF!</definedName>
    <definedName name="TEST11" localSheetId="22">S!#REF!</definedName>
    <definedName name="TEST11">S!#REF!</definedName>
    <definedName name="TEST12" localSheetId="22">S!#REF!</definedName>
    <definedName name="TEST12">S!#REF!</definedName>
    <definedName name="TEST13" localSheetId="22">S!#REF!</definedName>
    <definedName name="TEST13">S!#REF!</definedName>
    <definedName name="TEST14" localSheetId="22">S!#REF!</definedName>
    <definedName name="TEST14">S!#REF!</definedName>
    <definedName name="TEST15" localSheetId="22">S!#REF!</definedName>
    <definedName name="TEST15">S!#REF!</definedName>
    <definedName name="TEST18" localSheetId="22">S!#REF!</definedName>
    <definedName name="TEST18">S!#REF!</definedName>
    <definedName name="TEST19" localSheetId="22">S!#REF!</definedName>
    <definedName name="TEST19">S!#REF!</definedName>
    <definedName name="TEST2" localSheetId="22">S!#REF!</definedName>
    <definedName name="TEST2">S!#REF!</definedName>
    <definedName name="TEST20" localSheetId="22">S!#REF!</definedName>
    <definedName name="TEST20">S!#REF!</definedName>
    <definedName name="TEST21" localSheetId="22">S!#REF!</definedName>
    <definedName name="TEST21">S!#REF!</definedName>
    <definedName name="TEST3" localSheetId="22">S!#REF!</definedName>
    <definedName name="TEST3">S!#REF!</definedName>
    <definedName name="TEST4" localSheetId="22">S!#REF!</definedName>
    <definedName name="TEST4">S!#REF!</definedName>
    <definedName name="TEST5" localSheetId="22">S!#REF!</definedName>
    <definedName name="TEST5">S!#REF!</definedName>
    <definedName name="TEST6" localSheetId="22">S!#REF!</definedName>
    <definedName name="TEST6">S!#REF!</definedName>
    <definedName name="TEST7" localSheetId="22">S!#REF!</definedName>
    <definedName name="TEST7">S!#REF!</definedName>
    <definedName name="TEST8" localSheetId="22">S!#REF!</definedName>
    <definedName name="TEST8">S!#REF!</definedName>
    <definedName name="TEST9" localSheetId="22">S!#REF!</definedName>
    <definedName name="TEST9">S!#REF!</definedName>
    <definedName name="ThruFlo1" localSheetId="2">[1]WS!$G$56</definedName>
    <definedName name="ThruFlo1">WS!$G$70</definedName>
    <definedName name="ThruFlo10" localSheetId="2">[1]FR!$G$67</definedName>
    <definedName name="ThruFlo10">FH!$G$83</definedName>
    <definedName name="ThruFlo12" localSheetId="22">#REF!</definedName>
    <definedName name="ThruFlo12" localSheetId="2">[1]WBF!$G$55</definedName>
    <definedName name="ThruFlo2" localSheetId="2">[1]SR!$G$44</definedName>
    <definedName name="ThruFlo2">SR!$G$64</definedName>
    <definedName name="ThruFlo3" localSheetId="2">[1]PR!$G$61</definedName>
    <definedName name="ThruFlo3">PR!$G$82</definedName>
    <definedName name="ThruFlo4" localSheetId="2">[1]NR!$G$57</definedName>
    <definedName name="ThruFlo4">NR!$G$101</definedName>
    <definedName name="ThruFlo5" localSheetId="22">#REF!</definedName>
    <definedName name="ThruFlo5" localSheetId="2">[1]CS!$G$66</definedName>
    <definedName name="ThruFlo6" localSheetId="2">[1]OE!$G$63</definedName>
    <definedName name="ThruFlo6">OE!$G$88</definedName>
    <definedName name="ThruFlo8" localSheetId="2">[1]INV!$G$69</definedName>
    <definedName name="ThruFlo8">INV!$G$125</definedName>
    <definedName name="ThruFlo9" localSheetId="22">#REF!</definedName>
    <definedName name="ThruFlo9" localSheetId="2">[1]FA!$G$58</definedName>
    <definedName name="ThruFlow13" localSheetId="22">FIRE!#REF!</definedName>
    <definedName name="ThruFlow13" localSheetId="2">[1]WBN!$G$50</definedName>
    <definedName name="Tidal" localSheetId="22">#REF!</definedName>
    <definedName name="Tidal" localSheetId="2">#REF!</definedName>
    <definedName name="tidal0" localSheetId="22">#REF!</definedName>
    <definedName name="tidal0">#REF!</definedName>
    <definedName name="Tidal1" localSheetId="22">WS!#REF!</definedName>
    <definedName name="Tidal1" localSheetId="2">[1]WS!$D$2</definedName>
    <definedName name="Tidal10" localSheetId="22">FH!#REF!</definedName>
    <definedName name="Tidal10" localSheetId="2">[1]FR!$D$2</definedName>
    <definedName name="Tidal11" localSheetId="22">AM!#REF!</definedName>
    <definedName name="Tidal11" localSheetId="2">[1]AM!$D$2</definedName>
    <definedName name="Tidal12" localSheetId="22">#REF!</definedName>
    <definedName name="Tidal12" localSheetId="2">[1]WBF!$D$2</definedName>
    <definedName name="Tidal13" localSheetId="22">FIRE!#REF!</definedName>
    <definedName name="Tidal13" localSheetId="2">[1]WBN!$D$2</definedName>
    <definedName name="Tidal14" localSheetId="22">SBRM!#REF!</definedName>
    <definedName name="Tidal14" localSheetId="2">[1]SBM!$D$2</definedName>
    <definedName name="Tidal2" localSheetId="22">SR!#REF!</definedName>
    <definedName name="Tidal2" localSheetId="2">[1]SR!$D$2</definedName>
    <definedName name="Tidal3" localSheetId="22">PR!#REF!</definedName>
    <definedName name="Tidal3" localSheetId="2">[1]PR!$D$2</definedName>
    <definedName name="Tidal4" localSheetId="22">NR!#REF!</definedName>
    <definedName name="Tidal4" localSheetId="2">[1]NR!$D$2</definedName>
    <definedName name="Tidal5" localSheetId="22">#REF!</definedName>
    <definedName name="Tidal5">#REF!</definedName>
    <definedName name="Tidal6" localSheetId="22">OE!#REF!</definedName>
    <definedName name="Tidal6" localSheetId="2">[1]OE!$D$2</definedName>
    <definedName name="Tidal7" localSheetId="22">WC!#REF!</definedName>
    <definedName name="Tidal7" localSheetId="2">[1]T!$D$2</definedName>
    <definedName name="Tidal8" localSheetId="22">INV!#REF!</definedName>
    <definedName name="Tidal8" localSheetId="2">[1]INV!$D$2</definedName>
    <definedName name="Tidal9" localSheetId="22">#REF!</definedName>
    <definedName name="Tidal9" localSheetId="2">[1]FA!$D$2</definedName>
    <definedName name="TidalNTconn13" localSheetId="22">FIRE!#REF!</definedName>
    <definedName name="TidalNTconn13" localSheetId="2">[1]WBN!#REF!</definedName>
    <definedName name="TidalPD" localSheetId="22">PH!#REF!</definedName>
    <definedName name="TidalPD" localSheetId="2">[1]PD!$D$2</definedName>
    <definedName name="TidalProx_S" localSheetId="22">#REF!</definedName>
    <definedName name="TidalProx_S">#REF!</definedName>
    <definedName name="TidalProx1" localSheetId="22">WS!#REF!</definedName>
    <definedName name="TidalProx1">WS!#REF!</definedName>
    <definedName name="TidalProx10" localSheetId="22">FH!#REF!</definedName>
    <definedName name="TidalProx10">FH!#REF!</definedName>
    <definedName name="TidalProx11" localSheetId="22">AM!#REF!</definedName>
    <definedName name="TidalProx11">AM!#REF!</definedName>
    <definedName name="TidalProx12" localSheetId="22">#REF!</definedName>
    <definedName name="TidalProx12" localSheetId="2">[1]WBF!$G$141</definedName>
    <definedName name="TidalProx13" localSheetId="22">FIRE!#REF!</definedName>
    <definedName name="TidalProx13">WB!#REF!</definedName>
    <definedName name="TidalProx14" localSheetId="22">SBRM!#REF!</definedName>
    <definedName name="TidalProx14">SBRM!#REF!</definedName>
    <definedName name="TidalProx3" localSheetId="22">PR!#REF!</definedName>
    <definedName name="TidalProx3">PR!#REF!</definedName>
    <definedName name="TidalProx4" localSheetId="22">NR!#REF!</definedName>
    <definedName name="TidalProx4">NR!#REF!</definedName>
    <definedName name="TidalProx5" localSheetId="22">#REF!</definedName>
    <definedName name="TidalProx5" localSheetId="2">[1]CS!$G$131</definedName>
    <definedName name="TidalProx6" localSheetId="22">OE!#REF!</definedName>
    <definedName name="TidalProx6">OE!#REF!</definedName>
    <definedName name="TidalProx8" localSheetId="22">INV!#REF!</definedName>
    <definedName name="TidalProx8">INV!#REF!</definedName>
    <definedName name="TidalProx9" localSheetId="22">#REF!</definedName>
    <definedName name="TidalProx9">#REF!</definedName>
    <definedName name="TidalProxPD" localSheetId="22">PH!#REF!</definedName>
    <definedName name="TidalProxPD">PH!#REF!</definedName>
    <definedName name="TidalProxPU" localSheetId="22">HU!#REF!</definedName>
    <definedName name="TidalProxPU">HU!#REF!</definedName>
    <definedName name="TidalProxS" localSheetId="22">#REF!</definedName>
    <definedName name="TidalProxS">#REF!</definedName>
    <definedName name="TidalW" localSheetId="22">#REF!</definedName>
    <definedName name="TidalW" localSheetId="2">#REF!</definedName>
    <definedName name="TideProx2" localSheetId="22">SR!#REF!</definedName>
    <definedName name="TideProx2">SR!#REF!</definedName>
    <definedName name="TideProx7" localSheetId="22">#REF!</definedName>
    <definedName name="TideProx7">#REF!</definedName>
    <definedName name="TnonTconn10" localSheetId="22">FH!#REF!</definedName>
    <definedName name="TnonTconn10">FH!#REF!</definedName>
    <definedName name="TnonTpd" localSheetId="22">PH!#REF!</definedName>
    <definedName name="TnonTpd" localSheetId="2">[1]PD!$G$9</definedName>
    <definedName name="TooSaline" localSheetId="22">F!#REF!</definedName>
    <definedName name="TooSaline">F!#REF!</definedName>
    <definedName name="TooSteep12" localSheetId="22">#REF!</definedName>
    <definedName name="TooSteep12" localSheetId="2">[1]WBF!$D$97</definedName>
    <definedName name="TooSteep13" localSheetId="22">FIRE!#REF!</definedName>
    <definedName name="TooSteep13">WB!$D$129</definedName>
    <definedName name="ToxData10" localSheetId="22">FH!#REF!</definedName>
    <definedName name="ToxData10">FH!#REF!</definedName>
    <definedName name="ToxData2" localSheetId="22">SR!#REF!</definedName>
    <definedName name="ToxData2">SR!#REF!</definedName>
    <definedName name="ToxData9" localSheetId="22">#REF!</definedName>
    <definedName name="ToxData9">#REF!</definedName>
    <definedName name="ToxDn2" localSheetId="22">SR!#REF!</definedName>
    <definedName name="ToxDn2">SR!#REF!</definedName>
    <definedName name="ToxDown2" localSheetId="22">SR!#REF!</definedName>
    <definedName name="ToxDown2">SR!#REF!</definedName>
    <definedName name="Toxic" localSheetId="22">#REF!</definedName>
    <definedName name="Toxic" localSheetId="2">[1]STR!$G$6</definedName>
    <definedName name="Toxic0" localSheetId="22">#REF!</definedName>
    <definedName name="Toxic0">#REF!</definedName>
    <definedName name="Toxic10">FH!$G$113</definedName>
    <definedName name="Toxic11">AM!$G$130</definedName>
    <definedName name="Toxic20">PH!$G$175</definedName>
    <definedName name="Toxic8">INV!$G$150</definedName>
    <definedName name="ToxicData" localSheetId="22">#REF!</definedName>
    <definedName name="ToxicData">#REF!</definedName>
    <definedName name="toxics13" localSheetId="2">[1]WBN!$G$186</definedName>
    <definedName name="ToxOnsite" localSheetId="22">#REF!</definedName>
    <definedName name="ToxOnsite">#REF!</definedName>
    <definedName name="ToxSource13" localSheetId="22">FIRE!#REF!</definedName>
    <definedName name="ToxSource13">WB!$G$155</definedName>
    <definedName name="ToxSource14">SBRM!$G$146</definedName>
    <definedName name="ToxUp2" localSheetId="22">SR!#REF!</definedName>
    <definedName name="ToxUp2">SR!#REF!</definedName>
    <definedName name="TprobUp" localSheetId="22">WC!#REF!</definedName>
    <definedName name="TprobUp" localSheetId="2">[1]T!$D$39</definedName>
    <definedName name="Trail">OF!#REF!</definedName>
    <definedName name="Transport1" localSheetId="22">WS!#REF!</definedName>
    <definedName name="Transport1" localSheetId="2">[1]WS!$G$92</definedName>
    <definedName name="Transport3" localSheetId="22">PR!#REF!</definedName>
    <definedName name="Transport3" localSheetId="2">[1]PR!$G$124</definedName>
    <definedName name="Transport4" localSheetId="22">NR!#REF!</definedName>
    <definedName name="Transport4" localSheetId="2">[1]NR!$G$124</definedName>
    <definedName name="TransportSS" localSheetId="22">SR!#REF!</definedName>
    <definedName name="TransportSS" localSheetId="2">[1]SR!$G$98</definedName>
    <definedName name="TRAP1A">SR!$G$98</definedName>
    <definedName name="TRAP1B">SR!#REF!</definedName>
    <definedName name="TreeCovPD">PH!#REF!</definedName>
    <definedName name="TreeCovS" localSheetId="22">#REF!</definedName>
    <definedName name="TreeCovS">#REF!</definedName>
    <definedName name="TreeDBHs" localSheetId="22">#REF!</definedName>
    <definedName name="TreeDBHs">#REF!</definedName>
    <definedName name="TreeForm13" localSheetId="22">FIRE!#REF!</definedName>
    <definedName name="TreeForm13">WB!$G$29</definedName>
    <definedName name="TreeForm5" localSheetId="22">#REF!</definedName>
    <definedName name="TreeForm5" localSheetId="2">[1]CS!$G$88</definedName>
    <definedName name="TreeForm6" localSheetId="22">OE!#REF!</definedName>
    <definedName name="TreeForm6" localSheetId="2">[1]OE!#REF!</definedName>
    <definedName name="TreeFrag_S" localSheetId="22">#REF!</definedName>
    <definedName name="TreeFrag_S" localSheetId="2">[1]Sen!#REF!</definedName>
    <definedName name="TreeFrag14" localSheetId="22">SBRM!#REF!</definedName>
    <definedName name="TreeFrag14" localSheetId="2">[1]SBM!#REF!</definedName>
    <definedName name="TreePct14">SBRM!#REF!</definedName>
    <definedName name="Trees13" localSheetId="22">FIRE!#REF!</definedName>
    <definedName name="Trees13">WB!$G$29</definedName>
    <definedName name="TreeTyp13" localSheetId="22">FIRE!#REF!</definedName>
    <definedName name="TreeTyp13">WB!$G$29</definedName>
    <definedName name="TreeTypes14" localSheetId="2">[1]SBM!$G$41</definedName>
    <definedName name="TreeTypes14">SBRM!$G$43</definedName>
    <definedName name="TreeTypes4">NR!#REF!</definedName>
    <definedName name="TreeVar11" localSheetId="2">[1]AM!$G$80</definedName>
    <definedName name="TreeVar11">AM!$G$25</definedName>
    <definedName name="TreeVar8" localSheetId="22">INV!#REF!</definedName>
    <definedName name="TreeVar8" localSheetId="2">[1]INV!#REF!</definedName>
    <definedName name="TrumSwan">OF!$E$39</definedName>
    <definedName name="TurbExceed" localSheetId="22">SR!#REF!</definedName>
    <definedName name="TurbExceed">SR!#REF!</definedName>
    <definedName name="TurbExceedSS" localSheetId="22">SR!#REF!</definedName>
    <definedName name="TurbExceedSS">SR!#REF!</definedName>
    <definedName name="Turbid15" localSheetId="22">PH!#REF!</definedName>
    <definedName name="Turbid15" localSheetId="2">[1]PD!$D$170</definedName>
    <definedName name="TurbUp2" localSheetId="22">SR!#REF!</definedName>
    <definedName name="TurbUp2" localSheetId="2">[1]SR!$D$109</definedName>
    <definedName name="Type1">WS!$G$13</definedName>
    <definedName name="Unbrow" localSheetId="22">SBRM!#REF!</definedName>
    <definedName name="Unbrow">SBRM!#REF!</definedName>
    <definedName name="Unbrowsed" localSheetId="22">PH!#REF!</definedName>
    <definedName name="Unbrowsed">PH!#REF!</definedName>
    <definedName name="Undercut10" localSheetId="22">FH!#REF!</definedName>
    <definedName name="Undercut10" localSheetId="2">[1]FR!$G$73</definedName>
    <definedName name="Undercut11" localSheetId="22">AM!#REF!</definedName>
    <definedName name="Undercut11" localSheetId="2">[1]AM!$G$54</definedName>
    <definedName name="Undercut2" localSheetId="22">SR!#REF!</definedName>
    <definedName name="Undercut2" localSheetId="2">[1]SR!$G$139</definedName>
    <definedName name="Undercut9" localSheetId="22">#REF!</definedName>
    <definedName name="Undercut9" localSheetId="2">[1]FA!$G$64</definedName>
    <definedName name="UndevOpenL100">OF!#REF!</definedName>
    <definedName name="UndevOpenL1k">OF!$E$40</definedName>
    <definedName name="UndevOpenL5k" localSheetId="22">OF!#REF!</definedName>
    <definedName name="UndevOpenL5k">OF!#REF!</definedName>
    <definedName name="Unif1" localSheetId="22">WS!#REF!</definedName>
    <definedName name="Unif1" localSheetId="2">[1]WS!#REF!</definedName>
    <definedName name="Unif11" localSheetId="22">AM!#REF!</definedName>
    <definedName name="Unif11" localSheetId="2">[1]AM!#REF!</definedName>
    <definedName name="UniPatch8" localSheetId="22">INV!#REF!</definedName>
    <definedName name="UniPatch8">INV!#REF!</definedName>
    <definedName name="UniqClass">OF!$E$41</definedName>
    <definedName name="UniqFenMarshSwamp">OF!$E$43</definedName>
    <definedName name="UniqMarshShallowOW">OF!$E$42</definedName>
    <definedName name="UniqPatch" localSheetId="22">#REF!</definedName>
    <definedName name="UniqPatch">#REF!</definedName>
    <definedName name="UniqPatch11" localSheetId="22">AM!#REF!</definedName>
    <definedName name="UniqPatch11" localSheetId="2">[1]AM!$G$228</definedName>
    <definedName name="UniqPatch12" localSheetId="22">#REF!</definedName>
    <definedName name="UniqPatch12">#REF!</definedName>
    <definedName name="UniqPatch12a" localSheetId="22">#REF!</definedName>
    <definedName name="UniqPatch12a">#REF!</definedName>
    <definedName name="UniqPatch13" localSheetId="22">FIRE!#REF!</definedName>
    <definedName name="UniqPatch13">WB!#REF!</definedName>
    <definedName name="UniqPatch14" localSheetId="22">SBRM!#REF!</definedName>
    <definedName name="UniqPatch14">SBRM!#REF!</definedName>
    <definedName name="UniqPatchPD" localSheetId="22">PH!#REF!</definedName>
    <definedName name="UniqPatchPD" localSheetId="2">[1]PD!$G$174</definedName>
    <definedName name="UniqVegF" localSheetId="22">#REF!</definedName>
    <definedName name="UniqVegF">#REF!</definedName>
    <definedName name="UniqWet" localSheetId="22">OF!#REF!</definedName>
    <definedName name="UniqWet">OF!#REF!</definedName>
    <definedName name="UniqWet_S" localSheetId="22">#REF!</definedName>
    <definedName name="UniqWet_S">#REF!</definedName>
    <definedName name="UniqWet10" localSheetId="22">AM!#REF!</definedName>
    <definedName name="UniqWet10">AM!#REF!</definedName>
    <definedName name="UniqWet13" localSheetId="22">FIRE!#REF!</definedName>
    <definedName name="UniqWet13">WB!#REF!</definedName>
    <definedName name="UniqWet14" localSheetId="22">SBRM!#REF!</definedName>
    <definedName name="UniqWet14">SBRM!#REF!</definedName>
    <definedName name="Unprotec" localSheetId="22">#REF!</definedName>
    <definedName name="Unprotec">#REF!</definedName>
    <definedName name="UpEdge_S" localSheetId="22">#REF!</definedName>
    <definedName name="UpEdge_S">#REF!</definedName>
    <definedName name="UpEdge14" localSheetId="22">SBRM!#REF!</definedName>
    <definedName name="UpEdge14" localSheetId="2">[1]SBM!$G$62</definedName>
    <definedName name="UpEdgeShape4" localSheetId="22">NR!#REF!</definedName>
    <definedName name="UpEdgeShape4" localSheetId="2">[1]NR!$G$80</definedName>
    <definedName name="UpErodible" localSheetId="22">#REF!</definedName>
    <definedName name="UpErodible" localSheetId="2">#REF!</definedName>
    <definedName name="UpEutro1k">OF!$E$38</definedName>
    <definedName name="UpExceed2" localSheetId="22">SR!#REF!</definedName>
    <definedName name="UpExceed2">SR!#REF!</definedName>
    <definedName name="UpExceedDist" localSheetId="22">#REF!</definedName>
    <definedName name="UpExceedDist" localSheetId="2">#REF!</definedName>
    <definedName name="UpNitrate" localSheetId="22">#REF!</definedName>
    <definedName name="UpNitrate" localSheetId="2">#REF!</definedName>
    <definedName name="UpPhos" localSheetId="22">#REF!</definedName>
    <definedName name="UpPhos" localSheetId="2">#REF!</definedName>
    <definedName name="UpPollute" localSheetId="22">#REF!</definedName>
    <definedName name="UpPollute" localSheetId="2">#REF!</definedName>
    <definedName name="UpRip1k" localSheetId="22">OF!#REF!</definedName>
    <definedName name="UpRip1k">OF!#REF!</definedName>
    <definedName name="UpRip5k" localSheetId="22">OF!#REF!</definedName>
    <definedName name="UpRip5k">OF!#REF!</definedName>
    <definedName name="UpStorage" localSheetId="22">#REF!</definedName>
    <definedName name="UpStorage" localSheetId="2">#REF!</definedName>
    <definedName name="UpStore1" localSheetId="22">WS!#REF!</definedName>
    <definedName name="UpStore1" localSheetId="2">[1]WS!$G$88</definedName>
    <definedName name="UpStore3" localSheetId="22">PR!#REF!</definedName>
    <definedName name="UpStore3" localSheetId="2">[1]PR!$G$120</definedName>
    <definedName name="UpStore4" localSheetId="22">NR!#REF!</definedName>
    <definedName name="UpStore4" localSheetId="2">[1]NR!$G$120</definedName>
    <definedName name="UpStoreSS" localSheetId="22">SR!#REF!</definedName>
    <definedName name="UpStoreSS" localSheetId="2">[1]SR!$G$94</definedName>
    <definedName name="UpThermo" localSheetId="22">#REF!</definedName>
    <definedName name="UpThermo" localSheetId="2">#REF!</definedName>
    <definedName name="UpTransport" localSheetId="22">#REF!</definedName>
    <definedName name="UpTransport" localSheetId="2">#REF!</definedName>
    <definedName name="UpTurbid" localSheetId="22">#REF!</definedName>
    <definedName name="UpTurbid" localSheetId="2">#REF!</definedName>
    <definedName name="UpWQdis2" localSheetId="22">SR!#REF!</definedName>
    <definedName name="UpWQdis2" localSheetId="2">[1]SR!#REF!</definedName>
    <definedName name="Use1a">HU!$G$71</definedName>
    <definedName name="Use1b" localSheetId="22">HU!#REF!</definedName>
    <definedName name="Use1b">HU!#REF!</definedName>
    <definedName name="VegClear" localSheetId="22">#REF!</definedName>
    <definedName name="VegClear" localSheetId="2">[1]STR!$G$9</definedName>
    <definedName name="VegCon1k">OF!#REF!</definedName>
    <definedName name="VegGap11" localSheetId="22">AM!#REF!</definedName>
    <definedName name="VegGap11" localSheetId="2">[1]AM!#REF!</definedName>
    <definedName name="VegGap14" localSheetId="22">SBRM!#REF!</definedName>
    <definedName name="VegGap14" localSheetId="2">[1]SBM!$G$54</definedName>
    <definedName name="VegGaps8" localSheetId="22">INV!#REF!</definedName>
    <definedName name="VegGaps8" localSheetId="2">[1]INV!$G$100</definedName>
    <definedName name="VegIntersp8">INV!$G$31</definedName>
    <definedName name="VegWabs3" localSheetId="2">[1]PR!$G$67</definedName>
    <definedName name="VegWabs3">PR!$G$64</definedName>
    <definedName name="VegWrel3" localSheetId="22">PR!#REF!</definedName>
    <definedName name="VegWrel3" localSheetId="2">[1]PR!$G$147</definedName>
    <definedName name="Visib12" localSheetId="22">#REF!</definedName>
    <definedName name="Visib12">#REF!</definedName>
    <definedName name="Visibility" localSheetId="2">[1]PU!$G$2</definedName>
    <definedName name="Visibility">HU!$G$20</definedName>
    <definedName name="VisibWet" localSheetId="22">#REF!</definedName>
    <definedName name="VisibWet">#REF!</definedName>
    <definedName name="Vremove6" localSheetId="22">OE!#REF!</definedName>
    <definedName name="Vremove6" localSheetId="2">[1]OE!$G$116</definedName>
    <definedName name="Vscape1a">PH!$G$188</definedName>
    <definedName name="Vscape1b" localSheetId="22">PH!#REF!</definedName>
    <definedName name="Vscape1b">PH!#REF!</definedName>
    <definedName name="VscoreSRM" localSheetId="22">SBRM!#REF!</definedName>
    <definedName name="VscoreSRM">SBRM!#REF!</definedName>
    <definedName name="VscoreWBF" localSheetId="22">#REF!</definedName>
    <definedName name="VscoreWBF">#REF!</definedName>
    <definedName name="VscoreWBN" localSheetId="22">FIRE!#REF!</definedName>
    <definedName name="VscoreWBN">WB!#REF!</definedName>
    <definedName name="Vspace1a">PH!$G$185</definedName>
    <definedName name="Vspace1b">PH!#REF!</definedName>
    <definedName name="Vstruc1a">PH!$G$179</definedName>
    <definedName name="Vstruc1b">PH!#REF!</definedName>
    <definedName name="vwidth0" localSheetId="22">#REF!</definedName>
    <definedName name="vwidth0">#REF!</definedName>
    <definedName name="Vwidth1">WS!$G$63</definedName>
    <definedName name="Vwidth11">AM!$G$74</definedName>
    <definedName name="Vwidth14">SBRM!$G$106</definedName>
    <definedName name="VwidthAbs_S" localSheetId="22">#REF!</definedName>
    <definedName name="VwidthAbs_S" localSheetId="2">[1]Sen!$G$40</definedName>
    <definedName name="VwidthAbs13" localSheetId="22">FIRE!#REF!</definedName>
    <definedName name="VwidthAbs13" localSheetId="2">[1]WBN!$G$56</definedName>
    <definedName name="VwidthAbs13">WB!$G$97</definedName>
    <definedName name="VwidthAbs4" localSheetId="2">[1]NR!$G$63</definedName>
    <definedName name="VwidthAbs4">NR!$G$90</definedName>
    <definedName name="VwidthAbs5" localSheetId="22">#REF!</definedName>
    <definedName name="VwidthAbs5" localSheetId="2">[1]CS!$G$75</definedName>
    <definedName name="VwidthAbs6" localSheetId="2">[1]OE!$G$72</definedName>
    <definedName name="VwidthAbs6">OE!$G$77</definedName>
    <definedName name="VwidthRel_S" localSheetId="22">#REF!</definedName>
    <definedName name="VwidthRel_S" localSheetId="2">[1]Sen!$G$37</definedName>
    <definedName name="VwidthRel4" localSheetId="22">NR!#REF!</definedName>
    <definedName name="VwidthRel4" localSheetId="2">[1]NR!$G$148</definedName>
    <definedName name="VwidthRel5" localSheetId="22">#REF!</definedName>
    <definedName name="VwidthRel5" localSheetId="2">[1]CS!$G$72</definedName>
    <definedName name="VwidthRel6" localSheetId="22">OE!#REF!</definedName>
    <definedName name="VwidthRel6" localSheetId="2">[1]OE!$G$69</definedName>
    <definedName name="WarmInflo7" localSheetId="22">WC!#REF!</definedName>
    <definedName name="WarmInflo7">WC!#REF!</definedName>
    <definedName name="Warmth1" localSheetId="22">WS!#REF!</definedName>
    <definedName name="Warmth1">WS!#REF!</definedName>
    <definedName name="warmth10" localSheetId="22">FH!#REF!</definedName>
    <definedName name="warmth10">FH!#REF!</definedName>
    <definedName name="warmth12" localSheetId="22">#REF!</definedName>
    <definedName name="warmth12">#REF!</definedName>
    <definedName name="Warmth2" localSheetId="22">SR!#REF!</definedName>
    <definedName name="Warmth2">SR!#REF!</definedName>
    <definedName name="Warmth3" localSheetId="22">PR!#REF!</definedName>
    <definedName name="Warmth3">PR!#REF!</definedName>
    <definedName name="Warmth4" localSheetId="22">NR!#REF!</definedName>
    <definedName name="Warmth4">NR!#REF!</definedName>
    <definedName name="Warmth5" localSheetId="22">#REF!</definedName>
    <definedName name="Warmth5">#REF!</definedName>
    <definedName name="Warmth6" localSheetId="22">OE!#REF!</definedName>
    <definedName name="Warmth6">OE!#REF!</definedName>
    <definedName name="Warmth7" localSheetId="22">WC!#REF!</definedName>
    <definedName name="Warmth7">WC!#REF!</definedName>
    <definedName name="warmth8" localSheetId="22">INV!#REF!</definedName>
    <definedName name="warmth8">INV!#REF!</definedName>
    <definedName name="WatEdgeSlope2">SR!$G$54</definedName>
    <definedName name="Water0" localSheetId="22">#REF!</definedName>
    <definedName name="Water0">#REF!</definedName>
    <definedName name="Water10">FH!$D$14</definedName>
    <definedName name="Water11">AM!$D$48</definedName>
    <definedName name="Water12" localSheetId="22">#REF!</definedName>
    <definedName name="Water12">#REF!</definedName>
    <definedName name="Water13" localSheetId="22">FIRE!#REF!</definedName>
    <definedName name="Water13">WB!$D$53</definedName>
    <definedName name="Water14">SBRM!$D$86</definedName>
    <definedName name="Water15">PH!#REF!</definedName>
    <definedName name="Water1a">FH!$G$119</definedName>
    <definedName name="Water1b" localSheetId="22">FH!#REF!</definedName>
    <definedName name="Water1b">FH!#REF!</definedName>
    <definedName name="Water2" localSheetId="22">SFS!#REF!</definedName>
    <definedName name="Water2">SFS!#REF!</definedName>
    <definedName name="Water2a" localSheetId="22">SR!#REF!</definedName>
    <definedName name="Water2a">SR!#REF!</definedName>
    <definedName name="Water3">PR!$D$31</definedName>
    <definedName name="Water4">NR!$D$52</definedName>
    <definedName name="Water7">WC!$D$15</definedName>
    <definedName name="Water7w" localSheetId="22">#REF!</definedName>
    <definedName name="Water7w">#REF!</definedName>
    <definedName name="Water8">INV!$D$60</definedName>
    <definedName name="Water9" localSheetId="22">#REF!</definedName>
    <definedName name="Water9">#REF!</definedName>
    <definedName name="WaterI1a">INV!$G$155</definedName>
    <definedName name="WaterI1b" localSheetId="22">INV!#REF!</definedName>
    <definedName name="WaterI1b">INV!#REF!</definedName>
    <definedName name="Waterscape11" localSheetId="22">AM!#REF!</definedName>
    <definedName name="Waterscape11">AM!#REF!</definedName>
    <definedName name="WatProb">OF!#REF!</definedName>
    <definedName name="WatProbVar" localSheetId="22">OF!#REF!</definedName>
    <definedName name="WatProbVar">OF!#REF!</definedName>
    <definedName name="Wave2" localSheetId="22">SR!#REF!</definedName>
    <definedName name="Wave2" localSheetId="2">[1]SR!$G$146</definedName>
    <definedName name="Waves" localSheetId="22">#REF!</definedName>
    <definedName name="Waves" localSheetId="2">[1]STR!$G$15</definedName>
    <definedName name="Waves15" localSheetId="22">PH!#REF!</definedName>
    <definedName name="Waves15" localSheetId="2">[1]PD!$G$105</definedName>
    <definedName name="WBFscore10" localSheetId="22">AM!#REF!</definedName>
    <definedName name="WBFscore10">AM!#REF!</definedName>
    <definedName name="WBFscores" localSheetId="2">[1]FR!$D$112</definedName>
    <definedName name="WBFsiteS" localSheetId="22">#REF!</definedName>
    <definedName name="WBFsiteS">#REF!</definedName>
    <definedName name="WbirdF" localSheetId="22">INV!#REF!</definedName>
    <definedName name="WbirdF" localSheetId="2">[1]INV!$G$162</definedName>
    <definedName name="WbirdFeed" localSheetId="22">#REF!</definedName>
    <definedName name="WbirdFeed" localSheetId="2">[1]FA!$G$124</definedName>
    <definedName name="WbirdNest" localSheetId="2">[1]INV!$G$163</definedName>
    <definedName name="WbirdScore10" localSheetId="22">FH!#REF!</definedName>
    <definedName name="WbirdScore10">FH!#REF!</definedName>
    <definedName name="WbirdScore8" localSheetId="22">INV!#REF!</definedName>
    <definedName name="WbirdScore8">INV!#REF!</definedName>
    <definedName name="WBN4a" localSheetId="22">FIRE!#REF!</definedName>
    <definedName name="WBN4a">WB!#REF!</definedName>
    <definedName name="WBscore" localSheetId="22">FIRE!#REF!</definedName>
    <definedName name="WBscore">WB!#REF!</definedName>
    <definedName name="WBstaging">OF!#REF!</definedName>
    <definedName name="WclassDom7">WC!$G$8</definedName>
    <definedName name="WclassSub7" localSheetId="22">WC!#REF!</definedName>
    <definedName name="WclassSub7">WC!#REF!</definedName>
    <definedName name="WeedSource" localSheetId="22">#REF!</definedName>
    <definedName name="WeedSource" localSheetId="2">[1]STR!$G$35</definedName>
    <definedName name="WeedSourcePD" localSheetId="2">[1]PD!$G$130</definedName>
    <definedName name="WeedSourcePD">PH!$G$91</definedName>
    <definedName name="Wells21">HU!$G$57</definedName>
    <definedName name="WellWater" localSheetId="22">#REF!</definedName>
    <definedName name="WellWater" localSheetId="2">#REF!</definedName>
    <definedName name="Wet1a">HU!$G$74</definedName>
    <definedName name="Wet1b">HU!$G$75</definedName>
    <definedName name="WetArea">OF!$E$44</definedName>
    <definedName name="WetClass">OF!$E$11</definedName>
    <definedName name="WetDens1k">OF!$E$45</definedName>
    <definedName name="WetDens1k_NoBog">OF!$E$46</definedName>
    <definedName name="WetDens1k_NoVeg">OF!$E$10</definedName>
    <definedName name="WetDens1k_OW">OF!$E$47</definedName>
    <definedName name="WetDens5k" localSheetId="22">OF!#REF!</definedName>
    <definedName name="WetDens5k">OF!#REF!</definedName>
    <definedName name="WetDens5k_NoBog" localSheetId="22">OF!#REF!</definedName>
    <definedName name="WetDens5k_NoBog">OF!#REF!</definedName>
    <definedName name="WetDens5k_NoVeg" localSheetId="22">OF!#REF!</definedName>
    <definedName name="WetDens5k_NoVeg">OF!#REF!</definedName>
    <definedName name="WetDens5k_OW" localSheetId="22">OF!#REF!</definedName>
    <definedName name="WetDens5k_OW">OF!#REF!</definedName>
    <definedName name="WetDistrib13" localSheetId="22">FIRE!#REF!</definedName>
    <definedName name="WetDistrib13" localSheetId="2">[1]WBN!#REF!</definedName>
    <definedName name="WetDivers" localSheetId="22">OF!#REF!</definedName>
    <definedName name="WetDivers">OF!#REF!</definedName>
    <definedName name="WetDivers14" localSheetId="22">SBRM!#REF!</definedName>
    <definedName name="WetDivers14">SBRM!#REF!</definedName>
    <definedName name="WetDivers15" localSheetId="22">PH!#REF!</definedName>
    <definedName name="WetDivers15">PH!#REF!</definedName>
    <definedName name="WetDiversB11" localSheetId="22">AM!#REF!</definedName>
    <definedName name="WetDiversB11">AM!#REF!</definedName>
    <definedName name="WetDiversB13" localSheetId="22">FIRE!#REF!</definedName>
    <definedName name="WetDiversB13">WB!#REF!</definedName>
    <definedName name="WetIntercept" localSheetId="22">SR!#REF!</definedName>
    <definedName name="WetIntercept">SR!#REF!</definedName>
    <definedName name="WetMnArea1k_NoBog">OF!$E$8</definedName>
    <definedName name="WetMnArea1k_OW" localSheetId="22">OF!#REF!</definedName>
    <definedName name="WetMnArea1k_OW">OF!#REF!</definedName>
    <definedName name="WetMnArea5k_NoVeg" localSheetId="22">OF!#REF!</definedName>
    <definedName name="WetMnArea5k_NoVeg">OF!#REF!</definedName>
    <definedName name="WetMnArea5k_OW" localSheetId="22">OF!#REF!</definedName>
    <definedName name="WetMnArea5k_OW">OF!#REF!</definedName>
    <definedName name="WetPct0" localSheetId="22">#REF!</definedName>
    <definedName name="WetPct0">#REF!</definedName>
    <definedName name="WetPctCA">WS!#REF!</definedName>
    <definedName name="WetPctCA1">WS!$G$100</definedName>
    <definedName name="WetPctCA2">SR!$G$90</definedName>
    <definedName name="WetPctCA3">PR!$G$103</definedName>
    <definedName name="WetPctCA4">NR!#REF!</definedName>
    <definedName name="WetPctHUC8">OF!$E$48</definedName>
    <definedName name="WetPctOfCA" localSheetId="22">OF!#REF!</definedName>
    <definedName name="WetPctOfCA">OF!#REF!</definedName>
    <definedName name="WetPerim2Area">OF!$E$49</definedName>
    <definedName name="WetScapes" localSheetId="22">OF!#REF!</definedName>
    <definedName name="WetScapes">OF!#REF!</definedName>
    <definedName name="Wetscapes_S" localSheetId="22">#REF!</definedName>
    <definedName name="Wetscapes_S">#REF!</definedName>
    <definedName name="Wetscapes10v" localSheetId="22">AM!#REF!</definedName>
    <definedName name="Wetscapes10v">AM!#REF!</definedName>
    <definedName name="WetScapes11" localSheetId="22">AM!#REF!</definedName>
    <definedName name="WetScapes11">AM!#REF!</definedName>
    <definedName name="WetScapes14" localSheetId="22">SBRM!#REF!</definedName>
    <definedName name="WetScapes14">SBRM!#REF!</definedName>
    <definedName name="Wetscapes15" localSheetId="22">PH!#REF!</definedName>
    <definedName name="Wetscapes15">PH!#REF!</definedName>
    <definedName name="WetScapes8" localSheetId="22">INV!#REF!</definedName>
    <definedName name="WetScapes8">INV!#REF!</definedName>
    <definedName name="WetScapesA11" localSheetId="22">FIRE!#REF!</definedName>
    <definedName name="WetScapesA11">WB!#REF!</definedName>
    <definedName name="WetScapesA13" localSheetId="22">FIRE!#REF!</definedName>
    <definedName name="WetScapesA13">WB!#REF!</definedName>
    <definedName name="WetscapesA13v" localSheetId="22">FIRE!#REF!</definedName>
    <definedName name="WetscapesA13v">WB!#REF!</definedName>
    <definedName name="WetscapesA14v" localSheetId="22">SBRM!#REF!</definedName>
    <definedName name="WetscapesA14v">SBRM!#REF!</definedName>
    <definedName name="WetscapesB" localSheetId="22">OF!#REF!</definedName>
    <definedName name="WetscapesB">OF!#REF!</definedName>
    <definedName name="WetSizePU" localSheetId="22">HU!#REF!</definedName>
    <definedName name="WetSizePU">HU!#REF!</definedName>
    <definedName name="Wetter" localSheetId="22">#REF!</definedName>
    <definedName name="Wetter" localSheetId="2">[1]STR!$G$2</definedName>
    <definedName name="wetter1" localSheetId="22">WS!#REF!</definedName>
    <definedName name="wetter1">WS!#REF!</definedName>
    <definedName name="Wetter5" localSheetId="22">#REF!</definedName>
    <definedName name="Wetter5">#REF!</definedName>
    <definedName name="WetterEx" localSheetId="22">#REF!</definedName>
    <definedName name="WetterEx">#REF!</definedName>
    <definedName name="Wettype10" localSheetId="22">FH!#REF!</definedName>
    <definedName name="Wettype10">FH!#REF!</definedName>
    <definedName name="Wettype11" localSheetId="22">AM!#REF!</definedName>
    <definedName name="Wettype11">AM!$G$18</definedName>
    <definedName name="Wettype12" localSheetId="22">#REF!</definedName>
    <definedName name="Wettype12">#REF!</definedName>
    <definedName name="Wettype13" localSheetId="22">FIRE!#REF!</definedName>
    <definedName name="Wettype13">WB!$G$15</definedName>
    <definedName name="Wettype14">SBRM!$G$23</definedName>
    <definedName name="Wettype2">SFS!$G$13</definedName>
    <definedName name="Wettype3">PR!$G$8</definedName>
    <definedName name="Wettype4">NR!$G$11</definedName>
    <definedName name="Wettype5" localSheetId="22">#REF!</definedName>
    <definedName name="Wettype5">#REF!</definedName>
    <definedName name="Wettype6">OE!$G$7</definedName>
    <definedName name="Wettype8">INV!$G$11</definedName>
    <definedName name="Wettype9" localSheetId="22">#REF!</definedName>
    <definedName name="Wettype9">#REF!</definedName>
    <definedName name="WettypePD">PH!#REF!</definedName>
    <definedName name="WettypeS" localSheetId="22">#REF!</definedName>
    <definedName name="WettypeS">#REF!</definedName>
    <definedName name="wetuniq" localSheetId="22">#REF!</definedName>
    <definedName name="wetuniq" localSheetId="2">[1]POL!$G$118</definedName>
    <definedName name="wetuniq0" localSheetId="22">#REF!</definedName>
    <definedName name="wetuniq0">#REF!</definedName>
    <definedName name="WetUniq14" localSheetId="22">SBRM!#REF!</definedName>
    <definedName name="WetUniq14">SBRM!#REF!</definedName>
    <definedName name="WetVegArea">OF!$E$50</definedName>
    <definedName name="WetVegPct">OF!$E$6</definedName>
    <definedName name="WetWooded">OF!$E$51</definedName>
    <definedName name="WidthAbs2" localSheetId="2">[1]SR!$G$50</definedName>
    <definedName name="WidthAbs2">SR!$G$48</definedName>
    <definedName name="WidthPD">PH!$G$122</definedName>
    <definedName name="WidthRel2" localSheetId="22">SR!#REF!</definedName>
    <definedName name="WidthRel2" localSheetId="2">[1]SR!$G$136</definedName>
    <definedName name="WindSumm">OF!$E$52</definedName>
    <definedName name="WindWin">OF!#REF!</definedName>
    <definedName name="wood1pd" localSheetId="22">PH!#REF!</definedName>
    <definedName name="wood1pd" localSheetId="2">[1]PD!$G$74</definedName>
    <definedName name="wood2pd" localSheetId="2">[1]PD!$G$80</definedName>
    <definedName name="wood2pd">PH!$G$47</definedName>
    <definedName name="WoodAbove10" localSheetId="2">[1]FR!$G$79</definedName>
    <definedName name="WoodAbove10">FH!$G$63</definedName>
    <definedName name="WoodAbove11" localSheetId="2">[1]AM!$G$67</definedName>
    <definedName name="WoodAbove11">AM!$G$85</definedName>
    <definedName name="WoodAbove12" localSheetId="22">#REF!</definedName>
    <definedName name="WoodAbove12" localSheetId="2">[1]WBF!#REF!</definedName>
    <definedName name="WoodAbove14" localSheetId="22">SBRM!#REF!</definedName>
    <definedName name="WoodAbove14" localSheetId="2">[1]SBM!$G$22</definedName>
    <definedName name="WoodAbove9" localSheetId="22">#REF!</definedName>
    <definedName name="WoodAbove9" localSheetId="2">[1]FA!$G$76</definedName>
    <definedName name="WoodCov8" localSheetId="22">INV!#REF!</definedName>
    <definedName name="WoodCov8">INV!#REF!</definedName>
    <definedName name="WoodDown11" localSheetId="2">[1]AM!$G$101</definedName>
    <definedName name="WoodDown11">AM!$G$41</definedName>
    <definedName name="WoodDown14" localSheetId="2">[1]SBM!$G$69</definedName>
    <definedName name="WoodDown14">SBRM!$G$57</definedName>
    <definedName name="WoodDown8" localSheetId="2">[1]INV!$G$108</definedName>
    <definedName name="WoodDown8">INV!$G$38</definedName>
    <definedName name="WoodPatch" localSheetId="22">OF!#REF!</definedName>
    <definedName name="WoodPatch">OF!#REF!</definedName>
    <definedName name="WoodPatch11" localSheetId="22">AM!#REF!</definedName>
    <definedName name="WoodPatch11">AM!#REF!</definedName>
    <definedName name="WoodPatch14" localSheetId="22">SBRM!#REF!</definedName>
    <definedName name="WoodPatch14">SBRM!#REF!</definedName>
    <definedName name="WoodPatchPD" localSheetId="22">PH!#REF!</definedName>
    <definedName name="WoodPatchPD">PH!#REF!</definedName>
    <definedName name="WoodPatt14">SBRM!$G$52</definedName>
    <definedName name="WoodsUndev" localSheetId="22">OF!#REF!</definedName>
    <definedName name="WoodsUndev">OF!#REF!</definedName>
    <definedName name="WoodsUndev15" localSheetId="22">PH!#REF!</definedName>
    <definedName name="WoodsUndev15">PH!#REF!</definedName>
    <definedName name="WoodsUndevA" localSheetId="22">OF!#REF!</definedName>
    <definedName name="WoodsUndevA">OF!#REF!</definedName>
    <definedName name="WoodsUndevA14" localSheetId="22">SBRM!#REF!</definedName>
    <definedName name="WoodsUndevA14">SBRM!#REF!</definedName>
    <definedName name="WoodsUndevB" localSheetId="22">OF!#REF!</definedName>
    <definedName name="WoodsUndevB">OF!#REF!</definedName>
    <definedName name="WoodsUndevS" localSheetId="22">#REF!</definedName>
    <definedName name="WoodsUndevS">#REF!</definedName>
    <definedName name="WoodType6">OE!$G$14</definedName>
    <definedName name="WoodTypes_S" localSheetId="22">#REF!</definedName>
    <definedName name="WoodTypes_S" localSheetId="2">[1]Sen!#REF!</definedName>
    <definedName name="WoodUndev8" localSheetId="22">INV!#REF!</definedName>
    <definedName name="WoodUndev8">INV!#REF!</definedName>
    <definedName name="WoodUndevA11" localSheetId="22">AM!#REF!</definedName>
    <definedName name="WoodUndevA11">AM!#REF!</definedName>
    <definedName name="WoodWaterEdge7" localSheetId="22">WC!#REF!</definedName>
    <definedName name="WoodWaterEdge7">WC!#REF!</definedName>
    <definedName name="woody">F!$D$35</definedName>
    <definedName name="Woody12" localSheetId="22">#REF!</definedName>
    <definedName name="Woody12">#REF!</definedName>
    <definedName name="Woody13" localSheetId="22">FIRE!#REF!</definedName>
    <definedName name="Woody13">WB!$G$22</definedName>
    <definedName name="Woody14" localSheetId="2">[1]SBM!$G$37</definedName>
    <definedName name="WoodyCovPD">PH!$G$21</definedName>
    <definedName name="woodydbh0" localSheetId="22">#REF!</definedName>
    <definedName name="woodydbh0" localSheetId="2">[1]POL!$G$42</definedName>
    <definedName name="WoodyEdge14" localSheetId="22">SBRM!#REF!</definedName>
    <definedName name="WoodyEdge14" localSheetId="2">[1]SBM!$G$31</definedName>
    <definedName name="woodynn0" localSheetId="22">#REF!</definedName>
    <definedName name="woodynn0" localSheetId="2">[1]POL!$G$36</definedName>
    <definedName name="woodypct0" localSheetId="22">#REF!</definedName>
    <definedName name="woodypct0">#REF!</definedName>
    <definedName name="WoodyPct14" localSheetId="2">[1]SBM!$G$25</definedName>
    <definedName name="WoodyPct14">SBRM!$G$36</definedName>
    <definedName name="WoodyPct2">SFS!#REF!</definedName>
    <definedName name="WoodyPct4">NR!$G$18</definedName>
    <definedName name="WoodyPct5" localSheetId="22">#REF!</definedName>
    <definedName name="WoodyPct5" localSheetId="2">[1]CS!$G$82</definedName>
    <definedName name="WoodyPct8">INV!$G$24</definedName>
    <definedName name="WoodySens2_C" localSheetId="22">#REF!</definedName>
    <definedName name="WoodySens2_C" localSheetId="2">[1]CQ!$G$65</definedName>
    <definedName name="WoodySens2_S" localSheetId="22">#REF!</definedName>
    <definedName name="WoodySens2_S" localSheetId="2">[1]Sen!$G$86</definedName>
    <definedName name="WQdisDown4" localSheetId="22">NR!#REF!</definedName>
    <definedName name="WQdisDown4" localSheetId="2">[1]NR!$G$132</definedName>
    <definedName name="WQdistUp7" localSheetId="22">WC!#REF!</definedName>
    <definedName name="WQdistUp7" localSheetId="2">[1]T!#REF!</definedName>
    <definedName name="WQdown4" localSheetId="22">NR!#REF!</definedName>
    <definedName name="WQdown4">NR!#REF!</definedName>
    <definedName name="WQdown7" localSheetId="22">WC!#REF!</definedName>
    <definedName name="WQdown7">WC!#REF!</definedName>
    <definedName name="WQdownDis" localSheetId="22">#REF!</definedName>
    <definedName name="WQdownDis" localSheetId="2">[1]STR!#REF!</definedName>
    <definedName name="WQdownDis11" localSheetId="22">AM!#REF!</definedName>
    <definedName name="WQdownDis11" localSheetId="2">[1]AM!#REF!</definedName>
    <definedName name="WQdownDis12" localSheetId="22">#REF!</definedName>
    <definedName name="WQdownDis12" localSheetId="2">[1]WBF!#REF!</definedName>
    <definedName name="WQdownDis13" localSheetId="22">FIRE!#REF!</definedName>
    <definedName name="WQdownDis13" localSheetId="2">[1]WBN!#REF!</definedName>
    <definedName name="WQdownDis7" localSheetId="22">WC!#REF!</definedName>
    <definedName name="WQdownDis7" localSheetId="2">[1]T!$G$42</definedName>
    <definedName name="WQdownDis8" localSheetId="22">INV!#REF!</definedName>
    <definedName name="WQdownDis8" localSheetId="2">[1]INV!#REF!</definedName>
    <definedName name="WQdownDis9" localSheetId="22">#REF!</definedName>
    <definedName name="WQdownDis9" localSheetId="2">[1]FA!$G$115</definedName>
    <definedName name="WQin10" localSheetId="22">FH!#REF!</definedName>
    <definedName name="WQin10">FH!#REF!</definedName>
    <definedName name="WQin11" localSheetId="22">AM!#REF!</definedName>
    <definedName name="WQin11">AM!#REF!</definedName>
    <definedName name="WQindex10" localSheetId="22">FH!#REF!</definedName>
    <definedName name="WQindex10">FH!#REF!</definedName>
    <definedName name="WQindex11" localSheetId="22">AM!#REF!</definedName>
    <definedName name="WQindex11">AM!#REF!</definedName>
    <definedName name="WQNdisUp4" localSheetId="22">NR!#REF!</definedName>
    <definedName name="WQNdisUp4" localSheetId="2">[1]NR!#REF!</definedName>
    <definedName name="WQprob10">FH!#REF!</definedName>
    <definedName name="WQprob11">AM!#REF!</definedName>
    <definedName name="WQprob8">INV!#REF!</definedName>
    <definedName name="WQprobDownS" localSheetId="22">#REF!</definedName>
    <definedName name="WQprobDownS" localSheetId="2">[1]STR!#REF!</definedName>
    <definedName name="WQprobUpS" localSheetId="22">#REF!</definedName>
    <definedName name="WQprobUpS" localSheetId="2">[1]STR!$G$62</definedName>
    <definedName name="WQrisk">OF!#REF!</definedName>
    <definedName name="WQrisk3" localSheetId="22">PR!#REF!</definedName>
    <definedName name="WQrisk3">PR!#REF!</definedName>
    <definedName name="WQrisk4" localSheetId="22">NR!#REF!</definedName>
    <definedName name="WQrisk4">NR!#REF!</definedName>
    <definedName name="WQrisk8" localSheetId="22">INV!#REF!</definedName>
    <definedName name="WQrisk8">INV!#REF!</definedName>
    <definedName name="WQriskS" localSheetId="22">#REF!</definedName>
    <definedName name="WQriskS">#REF!</definedName>
    <definedName name="WQstress" localSheetId="22">#REF!</definedName>
    <definedName name="WQstress">#REF!</definedName>
    <definedName name="WQup11" localSheetId="22">AM!#REF!</definedName>
    <definedName name="WQup11" localSheetId="2">[1]AM!$G$220</definedName>
    <definedName name="WQup13" localSheetId="22">FIRE!#REF!</definedName>
    <definedName name="WQup13">WB!#REF!</definedName>
    <definedName name="WQup4" localSheetId="22">NR!#REF!</definedName>
    <definedName name="WQup4">NR!#REF!</definedName>
    <definedName name="WQup7" localSheetId="22">WC!#REF!</definedName>
    <definedName name="WQup7">WC!#REF!</definedName>
    <definedName name="WQup9" localSheetId="22">#REF!</definedName>
    <definedName name="WQup9" localSheetId="2">[1]FA!$G$107</definedName>
    <definedName name="WQupDis" localSheetId="22">#REF!</definedName>
    <definedName name="WQupDis" localSheetId="2">[1]STR!#REF!</definedName>
    <definedName name="WQupDis11" localSheetId="22">AM!#REF!</definedName>
    <definedName name="WQupDis11" localSheetId="2">[1]AM!#REF!</definedName>
    <definedName name="WQupDis12" localSheetId="22">#REF!</definedName>
    <definedName name="WQupDis12" localSheetId="2">[1]WBF!#REF!</definedName>
    <definedName name="WQupDis13" localSheetId="22">FIRE!#REF!</definedName>
    <definedName name="WQupDis13" localSheetId="2">[1]WBN!#REF!</definedName>
    <definedName name="WQupdis8" localSheetId="22">INV!#REF!</definedName>
    <definedName name="WQupdis8" localSheetId="2">[1]INV!#REF!</definedName>
    <definedName name="WQupDis9" localSheetId="22">#REF!</definedName>
    <definedName name="WQupDis9" localSheetId="2">[1]FA!#REF!</definedName>
    <definedName name="Wscape" localSheetId="22">FIRE!#REF!</definedName>
    <definedName name="Wscape">WB!#REF!</definedName>
    <definedName name="Wscape14" localSheetId="22">SBRM!#REF!</definedName>
    <definedName name="Wscape14">SBRM!#REF!</definedName>
    <definedName name="Z_B8E02330_2419_4DE6_AD01_7ACC7A5D18DD_.wvu.Cols" localSheetId="24" hidden="1">Scores!$E:$E,Scores!#REF!</definedName>
    <definedName name="Z_B8E02330_2419_4DE6_AD01_7ACC7A5D18DD_.wvu.PrintArea" localSheetId="0" hidden="1">CoverPg!$B$1:$C$29</definedName>
    <definedName name="Z_B8E02330_2419_4DE6_AD01_7ACC7A5D18DD_.wvu.PrintArea" localSheetId="1" hidden="1">F!$A$2:$D$314</definedName>
    <definedName name="Z_B8E02330_2419_4DE6_AD01_7ACC7A5D18DD_.wvu.PrintArea" localSheetId="3" hidden="1">OF!$B$2:$D$52</definedName>
    <definedName name="Z_B8E02330_2419_4DE6_AD01_7ACC7A5D18DD_.wvu.PrintArea" localSheetId="2" hidden="1">S!$A$2:$F$88</definedName>
    <definedName name="Z_B8E02330_2419_4DE6_AD01_7ACC7A5D18DD_.wvu.PrintArea" localSheetId="24" hidden="1">Scores!$A$1:$G$25</definedName>
  </definedNames>
  <calcPr calcId="145621"/>
  <customWorkbookViews>
    <customWorkbookView name="Paul Adamus - Personal View" guid="{B8E02330-2419-4DE6-AD01-7ACC7A5D18DD}" mergeInterval="0" personalView="1" maximized="1" xWindow="1" yWindow="1" windowWidth="1020" windowHeight="490" tabRatio="1000" activeSheetId="3"/>
  </customWorkbookViews>
</workbook>
</file>

<file path=xl/calcChain.xml><?xml version="1.0" encoding="utf-8"?>
<calcChain xmlns="http://schemas.openxmlformats.org/spreadsheetml/2006/main">
  <c r="C12" i="27" l="1"/>
  <c r="B13" i="23"/>
  <c r="B16" i="21"/>
  <c r="CH88" i="4" l="1"/>
  <c r="CG88" i="4"/>
  <c r="CD88" i="4"/>
  <c r="CC88" i="4"/>
  <c r="BZ88" i="4"/>
  <c r="CI87" i="4"/>
  <c r="CI88" i="4" s="1"/>
  <c r="CH87" i="4"/>
  <c r="CG87" i="4"/>
  <c r="CF87" i="4"/>
  <c r="CF88" i="4" s="1"/>
  <c r="CE87" i="4"/>
  <c r="CE88" i="4" s="1"/>
  <c r="CD87" i="4"/>
  <c r="CC87" i="4"/>
  <c r="CB87" i="4"/>
  <c r="CB88" i="4" s="1"/>
  <c r="CA87" i="4"/>
  <c r="CA88" i="4" s="1"/>
  <c r="BZ87" i="4"/>
  <c r="CH70" i="4"/>
  <c r="CG70" i="4"/>
  <c r="CD70" i="4"/>
  <c r="CC70" i="4"/>
  <c r="BZ70" i="4"/>
  <c r="CI69" i="4"/>
  <c r="CI70" i="4" s="1"/>
  <c r="CH69" i="4"/>
  <c r="CG69" i="4"/>
  <c r="CF69" i="4"/>
  <c r="CF70" i="4" s="1"/>
  <c r="CE69" i="4"/>
  <c r="CE70" i="4" s="1"/>
  <c r="CD69" i="4"/>
  <c r="CC69" i="4"/>
  <c r="CB69" i="4"/>
  <c r="CB70" i="4" s="1"/>
  <c r="CA69" i="4"/>
  <c r="CA70" i="4" s="1"/>
  <c r="BZ69" i="4"/>
  <c r="CH52" i="4"/>
  <c r="CG52" i="4"/>
  <c r="CD52" i="4"/>
  <c r="CC52" i="4"/>
  <c r="BZ52" i="4"/>
  <c r="CI51" i="4"/>
  <c r="CI52" i="4" s="1"/>
  <c r="CH51" i="4"/>
  <c r="CG51" i="4"/>
  <c r="CF51" i="4"/>
  <c r="CF52" i="4" s="1"/>
  <c r="CE51" i="4"/>
  <c r="CE52" i="4" s="1"/>
  <c r="CD51" i="4"/>
  <c r="CC51" i="4"/>
  <c r="CB51" i="4"/>
  <c r="CB52" i="4" s="1"/>
  <c r="CA51" i="4"/>
  <c r="CA52" i="4" s="1"/>
  <c r="BZ51" i="4"/>
  <c r="CH39" i="4"/>
  <c r="CG39" i="4"/>
  <c r="CD39" i="4"/>
  <c r="CC39" i="4"/>
  <c r="BZ39" i="4"/>
  <c r="CI38" i="4"/>
  <c r="CI39" i="4" s="1"/>
  <c r="CH38" i="4"/>
  <c r="CG38" i="4"/>
  <c r="CF38" i="4"/>
  <c r="CF39" i="4" s="1"/>
  <c r="CE38" i="4"/>
  <c r="CE39" i="4" s="1"/>
  <c r="CD38" i="4"/>
  <c r="CC38" i="4"/>
  <c r="CB38" i="4"/>
  <c r="CB39" i="4" s="1"/>
  <c r="CA38" i="4"/>
  <c r="CA39" i="4" s="1"/>
  <c r="BZ38" i="4"/>
  <c r="CH24" i="4"/>
  <c r="CG24" i="4"/>
  <c r="CD24" i="4"/>
  <c r="CC24" i="4"/>
  <c r="BZ24" i="4"/>
  <c r="CI23" i="4"/>
  <c r="CI24" i="4" s="1"/>
  <c r="CH23" i="4"/>
  <c r="CG23" i="4"/>
  <c r="CF23" i="4"/>
  <c r="CF24" i="4" s="1"/>
  <c r="CE23" i="4"/>
  <c r="CE24" i="4" s="1"/>
  <c r="CD23" i="4"/>
  <c r="CC23" i="4"/>
  <c r="CB23" i="4"/>
  <c r="CB24" i="4" s="1"/>
  <c r="CA23" i="4"/>
  <c r="CA24" i="4" s="1"/>
  <c r="BZ23" i="4"/>
  <c r="BX88" i="4"/>
  <c r="BT88" i="4"/>
  <c r="BP88" i="4"/>
  <c r="BY87" i="4"/>
  <c r="BY88" i="4" s="1"/>
  <c r="BX87" i="4"/>
  <c r="BW87" i="4"/>
  <c r="BW88" i="4" s="1"/>
  <c r="BV87" i="4"/>
  <c r="BV88" i="4" s="1"/>
  <c r="BU87" i="4"/>
  <c r="BU88" i="4" s="1"/>
  <c r="BT87" i="4"/>
  <c r="BS87" i="4"/>
  <c r="BS88" i="4" s="1"/>
  <c r="BR87" i="4"/>
  <c r="BR88" i="4" s="1"/>
  <c r="BQ87" i="4"/>
  <c r="BQ88" i="4" s="1"/>
  <c r="BP87" i="4"/>
  <c r="BX70" i="4"/>
  <c r="BW70" i="4"/>
  <c r="BT70" i="4"/>
  <c r="BS70" i="4"/>
  <c r="BP70" i="4"/>
  <c r="BY69" i="4"/>
  <c r="BY70" i="4" s="1"/>
  <c r="BX69" i="4"/>
  <c r="BW69" i="4"/>
  <c r="BV69" i="4"/>
  <c r="BV70" i="4" s="1"/>
  <c r="BU69" i="4"/>
  <c r="BU70" i="4" s="1"/>
  <c r="BT69" i="4"/>
  <c r="BS69" i="4"/>
  <c r="BR69" i="4"/>
  <c r="BR70" i="4" s="1"/>
  <c r="BQ69" i="4"/>
  <c r="BQ70" i="4" s="1"/>
  <c r="BP69" i="4"/>
  <c r="BX52" i="4"/>
  <c r="BW52" i="4"/>
  <c r="BT52" i="4"/>
  <c r="BS52" i="4"/>
  <c r="BP52" i="4"/>
  <c r="BY51" i="4"/>
  <c r="BY52" i="4" s="1"/>
  <c r="BX51" i="4"/>
  <c r="BW51" i="4"/>
  <c r="BV51" i="4"/>
  <c r="BV52" i="4" s="1"/>
  <c r="BU51" i="4"/>
  <c r="BU52" i="4" s="1"/>
  <c r="BT51" i="4"/>
  <c r="BS51" i="4"/>
  <c r="BR51" i="4"/>
  <c r="BR52" i="4" s="1"/>
  <c r="BQ51" i="4"/>
  <c r="BQ52" i="4" s="1"/>
  <c r="BP51" i="4"/>
  <c r="BX39" i="4"/>
  <c r="BW39" i="4"/>
  <c r="BT39" i="4"/>
  <c r="BS39" i="4"/>
  <c r="BP39" i="4"/>
  <c r="BY38" i="4"/>
  <c r="BY39" i="4" s="1"/>
  <c r="BX38" i="4"/>
  <c r="BW38" i="4"/>
  <c r="BV38" i="4"/>
  <c r="BV39" i="4" s="1"/>
  <c r="BU38" i="4"/>
  <c r="BU39" i="4" s="1"/>
  <c r="BT38" i="4"/>
  <c r="BS38" i="4"/>
  <c r="BR38" i="4"/>
  <c r="BR39" i="4" s="1"/>
  <c r="BQ38" i="4"/>
  <c r="BQ39" i="4" s="1"/>
  <c r="BP38" i="4"/>
  <c r="BX24" i="4"/>
  <c r="BW24" i="4"/>
  <c r="BT24" i="4"/>
  <c r="BS24" i="4"/>
  <c r="BP24" i="4"/>
  <c r="BY23" i="4"/>
  <c r="BY24" i="4" s="1"/>
  <c r="BX23" i="4"/>
  <c r="BW23" i="4"/>
  <c r="BV23" i="4"/>
  <c r="BV24" i="4" s="1"/>
  <c r="BU23" i="4"/>
  <c r="BU24" i="4" s="1"/>
  <c r="BT23" i="4"/>
  <c r="BS23" i="4"/>
  <c r="BR23" i="4"/>
  <c r="BR24" i="4" s="1"/>
  <c r="BQ23" i="4"/>
  <c r="BQ24" i="4" s="1"/>
  <c r="BP23" i="4"/>
  <c r="BN88" i="4"/>
  <c r="BM88" i="4"/>
  <c r="BJ88" i="4"/>
  <c r="BI88" i="4"/>
  <c r="BF88" i="4"/>
  <c r="BO87" i="4"/>
  <c r="BO88" i="4" s="1"/>
  <c r="BN87" i="4"/>
  <c r="BM87" i="4"/>
  <c r="BL87" i="4"/>
  <c r="BL88" i="4" s="1"/>
  <c r="BK87" i="4"/>
  <c r="BK88" i="4" s="1"/>
  <c r="BJ87" i="4"/>
  <c r="BI87" i="4"/>
  <c r="BH87" i="4"/>
  <c r="BH88" i="4" s="1"/>
  <c r="BG87" i="4"/>
  <c r="BG88" i="4" s="1"/>
  <c r="BF87" i="4"/>
  <c r="BN70" i="4"/>
  <c r="BM70" i="4"/>
  <c r="BJ70" i="4"/>
  <c r="BI70" i="4"/>
  <c r="BF70" i="4"/>
  <c r="BO69" i="4"/>
  <c r="BO70" i="4" s="1"/>
  <c r="BN69" i="4"/>
  <c r="BM69" i="4"/>
  <c r="BL69" i="4"/>
  <c r="BL70" i="4" s="1"/>
  <c r="BK69" i="4"/>
  <c r="BK70" i="4" s="1"/>
  <c r="BJ69" i="4"/>
  <c r="BI69" i="4"/>
  <c r="BH69" i="4"/>
  <c r="BH70" i="4" s="1"/>
  <c r="BG69" i="4"/>
  <c r="BG70" i="4" s="1"/>
  <c r="BF69" i="4"/>
  <c r="BN52" i="4"/>
  <c r="BM52" i="4"/>
  <c r="BJ52" i="4"/>
  <c r="BI52" i="4"/>
  <c r="BF52" i="4"/>
  <c r="BO51" i="4"/>
  <c r="BO52" i="4" s="1"/>
  <c r="BN51" i="4"/>
  <c r="BM51" i="4"/>
  <c r="BL51" i="4"/>
  <c r="BL52" i="4" s="1"/>
  <c r="BK51" i="4"/>
  <c r="BK52" i="4" s="1"/>
  <c r="BJ51" i="4"/>
  <c r="BI51" i="4"/>
  <c r="BH51" i="4"/>
  <c r="BH52" i="4" s="1"/>
  <c r="BG51" i="4"/>
  <c r="BG52" i="4" s="1"/>
  <c r="BF51" i="4"/>
  <c r="BN39" i="4"/>
  <c r="BM39" i="4"/>
  <c r="BJ39" i="4"/>
  <c r="BI39" i="4"/>
  <c r="BF39" i="4"/>
  <c r="BO38" i="4"/>
  <c r="BO39" i="4" s="1"/>
  <c r="BN38" i="4"/>
  <c r="BM38" i="4"/>
  <c r="BL38" i="4"/>
  <c r="BL39" i="4" s="1"/>
  <c r="BK38" i="4"/>
  <c r="BK39" i="4" s="1"/>
  <c r="BJ38" i="4"/>
  <c r="BI38" i="4"/>
  <c r="BH38" i="4"/>
  <c r="BH39" i="4" s="1"/>
  <c r="BG38" i="4"/>
  <c r="BG39" i="4" s="1"/>
  <c r="BF38" i="4"/>
  <c r="BN24" i="4"/>
  <c r="BM24" i="4"/>
  <c r="BJ24" i="4"/>
  <c r="BI24" i="4"/>
  <c r="BF24" i="4"/>
  <c r="BO23" i="4"/>
  <c r="BO24" i="4" s="1"/>
  <c r="BN23" i="4"/>
  <c r="BM23" i="4"/>
  <c r="BL23" i="4"/>
  <c r="BL24" i="4" s="1"/>
  <c r="BK23" i="4"/>
  <c r="BK24" i="4" s="1"/>
  <c r="BJ23" i="4"/>
  <c r="BI23" i="4"/>
  <c r="BH23" i="4"/>
  <c r="BH24" i="4" s="1"/>
  <c r="BG23" i="4"/>
  <c r="BG24" i="4" s="1"/>
  <c r="BF23" i="4"/>
  <c r="BD88" i="4"/>
  <c r="BC88" i="4"/>
  <c r="AZ88" i="4"/>
  <c r="AY88" i="4"/>
  <c r="AV88" i="4"/>
  <c r="BE87" i="4"/>
  <c r="BE88" i="4" s="1"/>
  <c r="BD87" i="4"/>
  <c r="BC87" i="4"/>
  <c r="BB87" i="4"/>
  <c r="BB88" i="4" s="1"/>
  <c r="BA87" i="4"/>
  <c r="BA88" i="4" s="1"/>
  <c r="AZ87" i="4"/>
  <c r="AY87" i="4"/>
  <c r="AX87" i="4"/>
  <c r="AX88" i="4" s="1"/>
  <c r="AW87" i="4"/>
  <c r="AW88" i="4" s="1"/>
  <c r="AV87" i="4"/>
  <c r="BD70" i="4"/>
  <c r="BC70" i="4"/>
  <c r="AZ70" i="4"/>
  <c r="AY70" i="4"/>
  <c r="AV70" i="4"/>
  <c r="BE69" i="4"/>
  <c r="BE70" i="4" s="1"/>
  <c r="BD69" i="4"/>
  <c r="BC69" i="4"/>
  <c r="BB69" i="4"/>
  <c r="BB70" i="4" s="1"/>
  <c r="BA69" i="4"/>
  <c r="BA70" i="4" s="1"/>
  <c r="AZ69" i="4"/>
  <c r="AY69" i="4"/>
  <c r="AX69" i="4"/>
  <c r="AX70" i="4" s="1"/>
  <c r="AW69" i="4"/>
  <c r="AW70" i="4" s="1"/>
  <c r="AV69" i="4"/>
  <c r="BD52" i="4"/>
  <c r="BC52" i="4"/>
  <c r="AZ52" i="4"/>
  <c r="AY52" i="4"/>
  <c r="AV52" i="4"/>
  <c r="BE51" i="4"/>
  <c r="BE52" i="4" s="1"/>
  <c r="BD51" i="4"/>
  <c r="BC51" i="4"/>
  <c r="BB51" i="4"/>
  <c r="BB52" i="4" s="1"/>
  <c r="BA51" i="4"/>
  <c r="BA52" i="4" s="1"/>
  <c r="AZ51" i="4"/>
  <c r="AY51" i="4"/>
  <c r="AX51" i="4"/>
  <c r="AX52" i="4" s="1"/>
  <c r="AW51" i="4"/>
  <c r="AW52" i="4" s="1"/>
  <c r="AV51" i="4"/>
  <c r="BD39" i="4"/>
  <c r="BC39" i="4"/>
  <c r="AZ39" i="4"/>
  <c r="AY39" i="4"/>
  <c r="AV39" i="4"/>
  <c r="BE38" i="4"/>
  <c r="BE39" i="4" s="1"/>
  <c r="BD38" i="4"/>
  <c r="BC38" i="4"/>
  <c r="BB38" i="4"/>
  <c r="BB39" i="4" s="1"/>
  <c r="BA38" i="4"/>
  <c r="BA39" i="4" s="1"/>
  <c r="AZ38" i="4"/>
  <c r="AY38" i="4"/>
  <c r="AX38" i="4"/>
  <c r="AX39" i="4" s="1"/>
  <c r="AW38" i="4"/>
  <c r="AW39" i="4" s="1"/>
  <c r="AV38" i="4"/>
  <c r="BD24" i="4"/>
  <c r="BC24" i="4"/>
  <c r="AZ24" i="4"/>
  <c r="AY24" i="4"/>
  <c r="AV24" i="4"/>
  <c r="BE23" i="4"/>
  <c r="BE24" i="4" s="1"/>
  <c r="BD23" i="4"/>
  <c r="BC23" i="4"/>
  <c r="BB23" i="4"/>
  <c r="BB24" i="4" s="1"/>
  <c r="BA23" i="4"/>
  <c r="BA24" i="4" s="1"/>
  <c r="AZ23" i="4"/>
  <c r="AY23" i="4"/>
  <c r="AX23" i="4"/>
  <c r="AX24" i="4" s="1"/>
  <c r="AW23" i="4"/>
  <c r="AW24" i="4" s="1"/>
  <c r="AV23" i="4"/>
  <c r="AT88" i="4"/>
  <c r="AS88" i="4"/>
  <c r="AP88" i="4"/>
  <c r="AO88" i="4"/>
  <c r="AL88" i="4"/>
  <c r="AU87" i="4"/>
  <c r="AU88" i="4" s="1"/>
  <c r="AT87" i="4"/>
  <c r="AS87" i="4"/>
  <c r="AR87" i="4"/>
  <c r="AR88" i="4" s="1"/>
  <c r="AQ87" i="4"/>
  <c r="AQ88" i="4" s="1"/>
  <c r="AP87" i="4"/>
  <c r="AO87" i="4"/>
  <c r="AN87" i="4"/>
  <c r="AN88" i="4" s="1"/>
  <c r="AM87" i="4"/>
  <c r="AM88" i="4" s="1"/>
  <c r="AL87" i="4"/>
  <c r="AT70" i="4"/>
  <c r="AS70" i="4"/>
  <c r="AP70" i="4"/>
  <c r="AO70" i="4"/>
  <c r="AL70" i="4"/>
  <c r="AU69" i="4"/>
  <c r="AU70" i="4" s="1"/>
  <c r="AT69" i="4"/>
  <c r="AS69" i="4"/>
  <c r="AR69" i="4"/>
  <c r="AR70" i="4" s="1"/>
  <c r="AQ69" i="4"/>
  <c r="AQ70" i="4" s="1"/>
  <c r="AP69" i="4"/>
  <c r="AO69" i="4"/>
  <c r="AN69" i="4"/>
  <c r="AN70" i="4" s="1"/>
  <c r="AM69" i="4"/>
  <c r="AM70" i="4" s="1"/>
  <c r="AL69" i="4"/>
  <c r="AT52" i="4"/>
  <c r="AS52" i="4"/>
  <c r="AP52" i="4"/>
  <c r="AO52" i="4"/>
  <c r="AL52" i="4"/>
  <c r="AU51" i="4"/>
  <c r="AU52" i="4" s="1"/>
  <c r="AT51" i="4"/>
  <c r="AS51" i="4"/>
  <c r="AR51" i="4"/>
  <c r="AR52" i="4" s="1"/>
  <c r="AQ51" i="4"/>
  <c r="AQ52" i="4" s="1"/>
  <c r="AP51" i="4"/>
  <c r="AO51" i="4"/>
  <c r="AN51" i="4"/>
  <c r="AN52" i="4" s="1"/>
  <c r="AM51" i="4"/>
  <c r="AM52" i="4" s="1"/>
  <c r="AL51" i="4"/>
  <c r="AT39" i="4"/>
  <c r="AS39" i="4"/>
  <c r="AP39" i="4"/>
  <c r="AO39" i="4"/>
  <c r="AL39" i="4"/>
  <c r="AU38" i="4"/>
  <c r="AU39" i="4" s="1"/>
  <c r="AT38" i="4"/>
  <c r="AS38" i="4"/>
  <c r="AR38" i="4"/>
  <c r="AR39" i="4" s="1"/>
  <c r="AQ38" i="4"/>
  <c r="AQ39" i="4" s="1"/>
  <c r="AP38" i="4"/>
  <c r="AO38" i="4"/>
  <c r="AN38" i="4"/>
  <c r="AN39" i="4" s="1"/>
  <c r="AM38" i="4"/>
  <c r="AM39" i="4" s="1"/>
  <c r="AL38" i="4"/>
  <c r="AT24" i="4"/>
  <c r="AS24" i="4"/>
  <c r="AP24" i="4"/>
  <c r="AO24" i="4"/>
  <c r="AL24" i="4"/>
  <c r="AU23" i="4"/>
  <c r="AU24" i="4" s="1"/>
  <c r="AT23" i="4"/>
  <c r="AS23" i="4"/>
  <c r="AR23" i="4"/>
  <c r="AR24" i="4" s="1"/>
  <c r="AQ23" i="4"/>
  <c r="AQ24" i="4" s="1"/>
  <c r="AP23" i="4"/>
  <c r="AO23" i="4"/>
  <c r="AN23" i="4"/>
  <c r="AN24" i="4" s="1"/>
  <c r="AM23" i="4"/>
  <c r="AM24" i="4" s="1"/>
  <c r="AL23" i="4"/>
  <c r="AI88" i="4"/>
  <c r="AE88" i="4"/>
  <c r="AK87" i="4"/>
  <c r="AK88" i="4" s="1"/>
  <c r="AJ87" i="4"/>
  <c r="AJ88" i="4" s="1"/>
  <c r="AI87" i="4"/>
  <c r="AH87" i="4"/>
  <c r="AH88" i="4" s="1"/>
  <c r="AG87" i="4"/>
  <c r="AG88" i="4" s="1"/>
  <c r="AF87" i="4"/>
  <c r="AF88" i="4" s="1"/>
  <c r="AE87" i="4"/>
  <c r="AD87" i="4"/>
  <c r="AD88" i="4" s="1"/>
  <c r="AC87" i="4"/>
  <c r="AC88" i="4" s="1"/>
  <c r="AB87" i="4"/>
  <c r="AB88" i="4" s="1"/>
  <c r="AI70" i="4"/>
  <c r="AE70" i="4"/>
  <c r="AK69" i="4"/>
  <c r="AK70" i="4" s="1"/>
  <c r="AJ69" i="4"/>
  <c r="AJ70" i="4" s="1"/>
  <c r="AI69" i="4"/>
  <c r="AH69" i="4"/>
  <c r="AH70" i="4" s="1"/>
  <c r="AG69" i="4"/>
  <c r="AG70" i="4" s="1"/>
  <c r="AF69" i="4"/>
  <c r="AF70" i="4" s="1"/>
  <c r="AE69" i="4"/>
  <c r="AD69" i="4"/>
  <c r="AD70" i="4" s="1"/>
  <c r="AC69" i="4"/>
  <c r="AC70" i="4" s="1"/>
  <c r="AB69" i="4"/>
  <c r="AB70" i="4" s="1"/>
  <c r="AI52" i="4"/>
  <c r="AE52" i="4"/>
  <c r="AK51" i="4"/>
  <c r="AK52" i="4" s="1"/>
  <c r="AJ51" i="4"/>
  <c r="AJ52" i="4" s="1"/>
  <c r="AI51" i="4"/>
  <c r="AH51" i="4"/>
  <c r="AH52" i="4" s="1"/>
  <c r="AG51" i="4"/>
  <c r="AG52" i="4" s="1"/>
  <c r="AF51" i="4"/>
  <c r="AF52" i="4" s="1"/>
  <c r="AE51" i="4"/>
  <c r="AD51" i="4"/>
  <c r="AD52" i="4" s="1"/>
  <c r="AC51" i="4"/>
  <c r="AC52" i="4" s="1"/>
  <c r="AB51" i="4"/>
  <c r="AB52" i="4" s="1"/>
  <c r="AI39" i="4"/>
  <c r="AE39" i="4"/>
  <c r="AK38" i="4"/>
  <c r="AK39" i="4" s="1"/>
  <c r="AJ38" i="4"/>
  <c r="AJ39" i="4" s="1"/>
  <c r="AI38" i="4"/>
  <c r="AH38" i="4"/>
  <c r="AH39" i="4" s="1"/>
  <c r="AG38" i="4"/>
  <c r="AG39" i="4" s="1"/>
  <c r="AF38" i="4"/>
  <c r="AF39" i="4" s="1"/>
  <c r="AE38" i="4"/>
  <c r="AD38" i="4"/>
  <c r="AD39" i="4" s="1"/>
  <c r="AC38" i="4"/>
  <c r="AC39" i="4" s="1"/>
  <c r="AB38" i="4"/>
  <c r="AB39" i="4" s="1"/>
  <c r="AI24" i="4"/>
  <c r="AE24" i="4"/>
  <c r="AK23" i="4"/>
  <c r="AK24" i="4" s="1"/>
  <c r="AJ23" i="4"/>
  <c r="AJ24" i="4" s="1"/>
  <c r="AI23" i="4"/>
  <c r="AH23" i="4"/>
  <c r="AH24" i="4" s="1"/>
  <c r="AG23" i="4"/>
  <c r="AG24" i="4" s="1"/>
  <c r="AF23" i="4"/>
  <c r="AF24" i="4" s="1"/>
  <c r="AE23" i="4"/>
  <c r="AD23" i="4"/>
  <c r="AD24" i="4" s="1"/>
  <c r="AC23" i="4"/>
  <c r="AC24" i="4" s="1"/>
  <c r="AB23" i="4"/>
  <c r="AB24" i="4" s="1"/>
  <c r="AA87" i="4"/>
  <c r="AA88" i="4" s="1"/>
  <c r="Z87" i="4"/>
  <c r="Z88" i="4" s="1"/>
  <c r="Y87" i="4"/>
  <c r="Y88" i="4" s="1"/>
  <c r="X87" i="4"/>
  <c r="X88" i="4" s="1"/>
  <c r="W87" i="4"/>
  <c r="W88" i="4" s="1"/>
  <c r="V87" i="4"/>
  <c r="V88" i="4" s="1"/>
  <c r="U87" i="4"/>
  <c r="U88" i="4" s="1"/>
  <c r="T87" i="4"/>
  <c r="T88" i="4" s="1"/>
  <c r="S87" i="4"/>
  <c r="S88" i="4" s="1"/>
  <c r="R87" i="4"/>
  <c r="R88" i="4" s="1"/>
  <c r="AA69" i="4"/>
  <c r="AA70" i="4" s="1"/>
  <c r="Z69" i="4"/>
  <c r="Z70" i="4" s="1"/>
  <c r="Y69" i="4"/>
  <c r="Y70" i="4" s="1"/>
  <c r="X69" i="4"/>
  <c r="X70" i="4" s="1"/>
  <c r="W69" i="4"/>
  <c r="W70" i="4" s="1"/>
  <c r="V69" i="4"/>
  <c r="V70" i="4" s="1"/>
  <c r="U69" i="4"/>
  <c r="U70" i="4" s="1"/>
  <c r="T69" i="4"/>
  <c r="T70" i="4" s="1"/>
  <c r="S69" i="4"/>
  <c r="S70" i="4" s="1"/>
  <c r="R69" i="4"/>
  <c r="R70" i="4" s="1"/>
  <c r="AA51" i="4"/>
  <c r="AA52" i="4" s="1"/>
  <c r="Z51" i="4"/>
  <c r="Z52" i="4" s="1"/>
  <c r="Y51" i="4"/>
  <c r="Y52" i="4" s="1"/>
  <c r="X51" i="4"/>
  <c r="X52" i="4" s="1"/>
  <c r="W51" i="4"/>
  <c r="W52" i="4" s="1"/>
  <c r="V51" i="4"/>
  <c r="V52" i="4" s="1"/>
  <c r="U51" i="4"/>
  <c r="U52" i="4" s="1"/>
  <c r="T51" i="4"/>
  <c r="T52" i="4" s="1"/>
  <c r="S51" i="4"/>
  <c r="S52" i="4" s="1"/>
  <c r="R51" i="4"/>
  <c r="R52" i="4" s="1"/>
  <c r="AA38" i="4"/>
  <c r="AA39" i="4" s="1"/>
  <c r="Z38" i="4"/>
  <c r="Z39" i="4" s="1"/>
  <c r="Y38" i="4"/>
  <c r="Y39" i="4" s="1"/>
  <c r="X38" i="4"/>
  <c r="X39" i="4" s="1"/>
  <c r="W38" i="4"/>
  <c r="W39" i="4" s="1"/>
  <c r="V38" i="4"/>
  <c r="V39" i="4" s="1"/>
  <c r="U38" i="4"/>
  <c r="U39" i="4" s="1"/>
  <c r="T38" i="4"/>
  <c r="T39" i="4" s="1"/>
  <c r="S38" i="4"/>
  <c r="S39" i="4" s="1"/>
  <c r="R38" i="4"/>
  <c r="R39" i="4" s="1"/>
  <c r="AA23" i="4"/>
  <c r="AA24" i="4" s="1"/>
  <c r="Z23" i="4"/>
  <c r="Z24" i="4" s="1"/>
  <c r="Y23" i="4"/>
  <c r="Y24" i="4" s="1"/>
  <c r="X23" i="4"/>
  <c r="X24" i="4" s="1"/>
  <c r="W23" i="4"/>
  <c r="W24" i="4" s="1"/>
  <c r="V23" i="4"/>
  <c r="V24" i="4" s="1"/>
  <c r="U23" i="4"/>
  <c r="U24" i="4" s="1"/>
  <c r="T23" i="4"/>
  <c r="T24" i="4" s="1"/>
  <c r="S23" i="4"/>
  <c r="S24" i="4" s="1"/>
  <c r="R23" i="4"/>
  <c r="R24" i="4" s="1"/>
  <c r="Q87" i="4" l="1"/>
  <c r="Q88" i="4" s="1"/>
  <c r="Q69" i="4"/>
  <c r="Q70" i="4" s="1"/>
  <c r="Q51" i="4"/>
  <c r="Q52" i="4" s="1"/>
  <c r="Q38" i="4"/>
  <c r="Q39" i="4" s="1"/>
  <c r="Q23" i="4"/>
  <c r="Q24" i="4" s="1"/>
  <c r="P87" i="4"/>
  <c r="P88" i="4" s="1"/>
  <c r="P69" i="4"/>
  <c r="P70" i="4" s="1"/>
  <c r="P51" i="4"/>
  <c r="P52" i="4" s="1"/>
  <c r="P38" i="4"/>
  <c r="P39" i="4" s="1"/>
  <c r="P23" i="4"/>
  <c r="P24" i="4" s="1"/>
  <c r="O87" i="4"/>
  <c r="O88" i="4" s="1"/>
  <c r="O69" i="4"/>
  <c r="O70" i="4" s="1"/>
  <c r="O51" i="4"/>
  <c r="O52" i="4" s="1"/>
  <c r="O38" i="4"/>
  <c r="O39" i="4" s="1"/>
  <c r="O23" i="4"/>
  <c r="O24" i="4" s="1"/>
  <c r="N88" i="4"/>
  <c r="N87" i="4"/>
  <c r="N69" i="4"/>
  <c r="N70" i="4" s="1"/>
  <c r="N52" i="4"/>
  <c r="N51" i="4"/>
  <c r="N39" i="4"/>
  <c r="N38" i="4"/>
  <c r="N23" i="4"/>
  <c r="N24" i="4" s="1"/>
  <c r="M87" i="4"/>
  <c r="M88" i="4" s="1"/>
  <c r="M69" i="4"/>
  <c r="M70" i="4" s="1"/>
  <c r="M51" i="4"/>
  <c r="M52" i="4" s="1"/>
  <c r="M38" i="4"/>
  <c r="M39" i="4" s="1"/>
  <c r="M23" i="4"/>
  <c r="M24" i="4" s="1"/>
  <c r="L87" i="4"/>
  <c r="L88" i="4" s="1"/>
  <c r="L69" i="4"/>
  <c r="L70" i="4" s="1"/>
  <c r="L51" i="4"/>
  <c r="L52" i="4" s="1"/>
  <c r="L39" i="4"/>
  <c r="L38" i="4"/>
  <c r="L23" i="4"/>
  <c r="L24" i="4" s="1"/>
  <c r="K87" i="4"/>
  <c r="K88" i="4" s="1"/>
  <c r="K69" i="4"/>
  <c r="K70" i="4" s="1"/>
  <c r="K52" i="4"/>
  <c r="K51" i="4"/>
  <c r="K38" i="4"/>
  <c r="K39" i="4" s="1"/>
  <c r="K23" i="4"/>
  <c r="K24" i="4" s="1"/>
  <c r="J87" i="4"/>
  <c r="J88" i="4" s="1"/>
  <c r="J69" i="4"/>
  <c r="J70" i="4" s="1"/>
  <c r="J51" i="4"/>
  <c r="J52" i="4" s="1"/>
  <c r="J38" i="4"/>
  <c r="J39" i="4" s="1"/>
  <c r="J23" i="4"/>
  <c r="J24" i="4" s="1"/>
  <c r="I88" i="4"/>
  <c r="I87" i="4"/>
  <c r="I69" i="4"/>
  <c r="I70" i="4" s="1"/>
  <c r="I52" i="4"/>
  <c r="I51" i="4"/>
  <c r="I38" i="4"/>
  <c r="I39" i="4" s="1"/>
  <c r="I23" i="4"/>
  <c r="I24" i="4" s="1"/>
  <c r="H87" i="4"/>
  <c r="H88" i="4" s="1"/>
  <c r="H69" i="4"/>
  <c r="H70" i="4" s="1"/>
  <c r="H51" i="4"/>
  <c r="H52" i="4" s="1"/>
  <c r="H38" i="4"/>
  <c r="H39" i="4" s="1"/>
  <c r="H23" i="4"/>
  <c r="H24" i="4" s="1"/>
  <c r="F87" i="4" l="1"/>
  <c r="F88" i="4" s="1"/>
  <c r="F69" i="4"/>
  <c r="F70" i="4" s="1"/>
  <c r="F51" i="4"/>
  <c r="F52" i="4" s="1"/>
  <c r="F38" i="4"/>
  <c r="F39" i="4" s="1"/>
  <c r="F23" i="4"/>
  <c r="F24" i="4" s="1"/>
  <c r="D29" i="10" l="1"/>
  <c r="F29" i="10" s="1"/>
  <c r="C29" i="10"/>
  <c r="G164" i="20"/>
  <c r="G5" i="27"/>
  <c r="B5" i="27"/>
  <c r="A5" i="27"/>
  <c r="D9" i="46"/>
  <c r="F9" i="46" s="1"/>
  <c r="C9" i="46"/>
  <c r="A4" i="46"/>
  <c r="B4" i="46"/>
  <c r="G4" i="46"/>
  <c r="G3" i="46"/>
  <c r="B3" i="46"/>
  <c r="A3" i="46"/>
  <c r="D137" i="23"/>
  <c r="D127" i="23"/>
  <c r="F127" i="23" s="1"/>
  <c r="C127" i="23"/>
  <c r="D106" i="23"/>
  <c r="F106" i="23" s="1"/>
  <c r="C106" i="23"/>
  <c r="D69" i="23"/>
  <c r="F69" i="23" s="1"/>
  <c r="C69" i="23"/>
  <c r="D68" i="23"/>
  <c r="F68" i="23" s="1"/>
  <c r="C68" i="23"/>
  <c r="D40" i="23"/>
  <c r="F40" i="23" s="1"/>
  <c r="D39" i="23"/>
  <c r="F39" i="23" s="1"/>
  <c r="C40" i="23"/>
  <c r="C39" i="23"/>
  <c r="A20" i="21"/>
  <c r="D111" i="21"/>
  <c r="F111" i="21" s="1"/>
  <c r="C111" i="21"/>
  <c r="D80" i="21"/>
  <c r="F80" i="21" s="1"/>
  <c r="C80" i="21"/>
  <c r="G21" i="21"/>
  <c r="G19" i="21"/>
  <c r="G18" i="21"/>
  <c r="B19" i="21"/>
  <c r="B18" i="21"/>
  <c r="A21" i="21"/>
  <c r="A19" i="21"/>
  <c r="A18" i="21"/>
  <c r="G11" i="20"/>
  <c r="D135" i="20"/>
  <c r="D134" i="20"/>
  <c r="D133" i="20"/>
  <c r="D132" i="20"/>
  <c r="D131" i="20"/>
  <c r="D102" i="20"/>
  <c r="F102" i="20" s="1"/>
  <c r="C102" i="20"/>
  <c r="D76" i="20"/>
  <c r="F76" i="20" s="1"/>
  <c r="C76" i="20"/>
  <c r="D62" i="20"/>
  <c r="F62" i="20" s="1"/>
  <c r="C62" i="20"/>
  <c r="G9" i="18"/>
  <c r="G9" i="15"/>
  <c r="G8" i="15"/>
  <c r="G7" i="15"/>
  <c r="G15" i="18"/>
  <c r="B15" i="18"/>
  <c r="A15" i="18"/>
  <c r="D125" i="18"/>
  <c r="D113" i="18"/>
  <c r="D79" i="18"/>
  <c r="F79" i="18" s="1"/>
  <c r="C79" i="18"/>
  <c r="D57" i="18"/>
  <c r="F57" i="18" s="1"/>
  <c r="C57" i="18"/>
  <c r="D37" i="18"/>
  <c r="F37" i="18" s="1"/>
  <c r="D36" i="18"/>
  <c r="F36" i="18" s="1"/>
  <c r="C37" i="18"/>
  <c r="C36" i="18"/>
  <c r="G7" i="17"/>
  <c r="G5" i="15"/>
  <c r="B7" i="15"/>
  <c r="H7" i="15"/>
  <c r="B9" i="15"/>
  <c r="B8" i="15"/>
  <c r="A7" i="15"/>
  <c r="A9" i="15"/>
  <c r="A8" i="15"/>
  <c r="D119" i="15"/>
  <c r="G119" i="15" s="1"/>
  <c r="D120" i="15"/>
  <c r="F34" i="15"/>
  <c r="D82" i="15"/>
  <c r="F82" i="15" s="1"/>
  <c r="C82" i="15"/>
  <c r="D34" i="15"/>
  <c r="F33" i="15" s="1"/>
  <c r="D33" i="15"/>
  <c r="C34" i="15"/>
  <c r="C33" i="15"/>
  <c r="D82" i="14"/>
  <c r="F82" i="14" s="1"/>
  <c r="C82" i="14"/>
  <c r="D60" i="14"/>
  <c r="F60" i="14" s="1"/>
  <c r="C60" i="14"/>
  <c r="D43" i="14"/>
  <c r="F43" i="14" s="1"/>
  <c r="C43" i="14"/>
  <c r="D42" i="14"/>
  <c r="F42" i="14" s="1"/>
  <c r="C42" i="14"/>
  <c r="D95" i="11"/>
  <c r="F95" i="11" s="1"/>
  <c r="C95" i="11"/>
  <c r="D50" i="11"/>
  <c r="F50" i="11" s="1"/>
  <c r="C50" i="11"/>
  <c r="D69" i="10"/>
  <c r="F69" i="10" s="1"/>
  <c r="C69" i="10"/>
  <c r="D48" i="10"/>
  <c r="F48" i="10" s="1"/>
  <c r="C48" i="10"/>
  <c r="D25" i="9"/>
  <c r="F25" i="9" s="1"/>
  <c r="C25" i="9"/>
  <c r="D39" i="31" l="1"/>
  <c r="F39" i="31" s="1"/>
  <c r="D38" i="31"/>
  <c r="F38" i="31" s="1"/>
  <c r="D37" i="31"/>
  <c r="F37" i="31" s="1"/>
  <c r="D36" i="31"/>
  <c r="F36" i="31" s="1"/>
  <c r="D35" i="31"/>
  <c r="F35" i="31" s="1"/>
  <c r="D34" i="31"/>
  <c r="F34" i="31" s="1"/>
  <c r="C35" i="31"/>
  <c r="C39" i="31"/>
  <c r="C38" i="31"/>
  <c r="C37" i="31"/>
  <c r="C36" i="31"/>
  <c r="C34" i="31"/>
  <c r="C33" i="31"/>
  <c r="B33" i="31"/>
  <c r="A33" i="31"/>
  <c r="C25" i="31"/>
  <c r="D25" i="31"/>
  <c r="F25" i="31" s="1"/>
  <c r="G3" i="8"/>
  <c r="A3" i="8"/>
  <c r="B3" i="8"/>
  <c r="D46" i="8"/>
  <c r="F46" i="8" s="1"/>
  <c r="C46" i="8"/>
  <c r="C45" i="8"/>
  <c r="D45" i="8"/>
  <c r="C47" i="8"/>
  <c r="D47" i="8"/>
  <c r="C48" i="8"/>
  <c r="D48" i="8"/>
  <c r="G33" i="31" l="1"/>
  <c r="C95" i="18" l="1"/>
  <c r="B9" i="18" l="1"/>
  <c r="A9" i="18"/>
  <c r="D92" i="18"/>
  <c r="D94" i="18"/>
  <c r="G94" i="18" s="1"/>
  <c r="D75" i="17"/>
  <c r="D93" i="18"/>
  <c r="A113" i="11" l="1"/>
  <c r="G13" i="8" l="1"/>
  <c r="D37" i="21" l="1"/>
  <c r="D38" i="21"/>
  <c r="D39" i="21"/>
  <c r="D40" i="21"/>
  <c r="D41" i="21"/>
  <c r="D42" i="21"/>
  <c r="A7" i="17"/>
  <c r="B7" i="17"/>
  <c r="A5" i="15"/>
  <c r="B5" i="15"/>
  <c r="D30" i="15"/>
  <c r="D29" i="15"/>
  <c r="D28" i="15"/>
  <c r="D27" i="15"/>
  <c r="D26" i="15"/>
  <c r="D25" i="15"/>
  <c r="A24" i="15"/>
  <c r="B24" i="15"/>
  <c r="C30" i="15"/>
  <c r="C29" i="15"/>
  <c r="C28" i="15"/>
  <c r="C27" i="15"/>
  <c r="C26" i="15"/>
  <c r="C25" i="15"/>
  <c r="C24" i="15"/>
  <c r="D20" i="14"/>
  <c r="D19" i="14"/>
  <c r="D18" i="14"/>
  <c r="D17" i="14"/>
  <c r="D16" i="14"/>
  <c r="D15" i="14"/>
  <c r="B14" i="14"/>
  <c r="A14" i="14"/>
  <c r="C20" i="14"/>
  <c r="C19" i="14"/>
  <c r="C18" i="14"/>
  <c r="C17" i="14"/>
  <c r="C16" i="14"/>
  <c r="C15" i="14"/>
  <c r="C14" i="14"/>
  <c r="F29" i="11"/>
  <c r="D31" i="11"/>
  <c r="F31" i="11" s="1"/>
  <c r="D30" i="11"/>
  <c r="F30" i="11" s="1"/>
  <c r="D28" i="11"/>
  <c r="F28" i="11" s="1"/>
  <c r="D27" i="11"/>
  <c r="F27" i="11" s="1"/>
  <c r="A25" i="11"/>
  <c r="B25" i="11"/>
  <c r="C31" i="11"/>
  <c r="C30" i="11"/>
  <c r="C29" i="11"/>
  <c r="C28" i="11"/>
  <c r="C27" i="11"/>
  <c r="C26" i="11"/>
  <c r="C25" i="11"/>
  <c r="D28" i="10"/>
  <c r="F28" i="10" s="1"/>
  <c r="C28" i="10"/>
  <c r="D49" i="11"/>
  <c r="F49" i="11" s="1"/>
  <c r="C49" i="11"/>
  <c r="D107" i="10"/>
  <c r="F107" i="10" s="1"/>
  <c r="D106" i="10"/>
  <c r="F106" i="10" s="1"/>
  <c r="D105" i="10"/>
  <c r="F105" i="10" s="1"/>
  <c r="D104" i="10"/>
  <c r="F104" i="10" s="1"/>
  <c r="B103" i="10"/>
  <c r="A103" i="10"/>
  <c r="C107" i="10"/>
  <c r="C106" i="10"/>
  <c r="C105" i="10"/>
  <c r="C104" i="10"/>
  <c r="C103" i="10"/>
  <c r="G14" i="14" l="1"/>
  <c r="G24" i="15"/>
  <c r="G25" i="11"/>
  <c r="G103" i="10"/>
  <c r="D94" i="9"/>
  <c r="F94" i="9" s="1"/>
  <c r="D93" i="9"/>
  <c r="F93" i="9" s="1"/>
  <c r="D92" i="9"/>
  <c r="F92" i="9" s="1"/>
  <c r="D91" i="9"/>
  <c r="F91" i="9" s="1"/>
  <c r="B90" i="9"/>
  <c r="A90" i="9"/>
  <c r="C94" i="9"/>
  <c r="C93" i="9"/>
  <c r="C92" i="9"/>
  <c r="C91" i="9"/>
  <c r="C90" i="9"/>
  <c r="A4" i="12"/>
  <c r="B4" i="12"/>
  <c r="D19" i="8"/>
  <c r="D18" i="8"/>
  <c r="D16" i="8"/>
  <c r="D15" i="8"/>
  <c r="C19" i="8"/>
  <c r="C18" i="8"/>
  <c r="C17" i="8"/>
  <c r="C16" i="8"/>
  <c r="C15" i="8"/>
  <c r="C14" i="8"/>
  <c r="C13" i="8"/>
  <c r="D104" i="8"/>
  <c r="F104" i="8" s="1"/>
  <c r="D103" i="8"/>
  <c r="F103" i="8" s="1"/>
  <c r="D102" i="8"/>
  <c r="F102" i="8" s="1"/>
  <c r="D101" i="8"/>
  <c r="F101" i="8" s="1"/>
  <c r="C104" i="8"/>
  <c r="C103" i="8"/>
  <c r="C102" i="8"/>
  <c r="C101" i="8"/>
  <c r="B100" i="8"/>
  <c r="A100" i="8"/>
  <c r="C100" i="8"/>
  <c r="G90" i="9" l="1"/>
  <c r="G100" i="8"/>
  <c r="D152" i="15" l="1"/>
  <c r="D151" i="15"/>
  <c r="D113" i="17"/>
  <c r="D149" i="15" l="1"/>
  <c r="G149" i="15"/>
  <c r="G7" i="18"/>
  <c r="G11" i="17"/>
  <c r="G9" i="17"/>
  <c r="G7" i="11"/>
  <c r="G6" i="11"/>
  <c r="G3" i="11"/>
  <c r="G5" i="10"/>
  <c r="G4" i="10"/>
  <c r="G4" i="9"/>
  <c r="G7" i="8"/>
  <c r="G6" i="8"/>
  <c r="G4" i="8"/>
  <c r="G12" i="21"/>
  <c r="G9" i="23"/>
  <c r="G4" i="27"/>
  <c r="G3" i="27"/>
  <c r="G6" i="12" l="1"/>
  <c r="C93" i="18"/>
  <c r="D118" i="15"/>
  <c r="C118" i="15"/>
  <c r="D76" i="17"/>
  <c r="C76" i="17"/>
  <c r="D79" i="10"/>
  <c r="C79" i="10"/>
  <c r="D78" i="10"/>
  <c r="C78" i="10"/>
  <c r="D119" i="20"/>
  <c r="C119" i="20"/>
  <c r="D118" i="20"/>
  <c r="C118" i="20"/>
  <c r="D113" i="15"/>
  <c r="C113" i="15"/>
  <c r="D112" i="15"/>
  <c r="C112" i="15"/>
  <c r="D71" i="17"/>
  <c r="C71" i="17"/>
  <c r="D70" i="17"/>
  <c r="C70" i="17"/>
  <c r="D28" i="20" l="1"/>
  <c r="C28" i="20"/>
  <c r="D27" i="20"/>
  <c r="C27" i="20"/>
  <c r="D24" i="11"/>
  <c r="F24" i="11" s="1"/>
  <c r="C24" i="11"/>
  <c r="D23" i="11"/>
  <c r="F23" i="11" s="1"/>
  <c r="C23" i="11"/>
  <c r="D22" i="11"/>
  <c r="F22" i="11" s="1"/>
  <c r="C22" i="11"/>
  <c r="D21" i="11"/>
  <c r="F21" i="11" s="1"/>
  <c r="C21" i="11"/>
  <c r="D20" i="11"/>
  <c r="F20" i="11" s="1"/>
  <c r="C20" i="11"/>
  <c r="G149" i="20" l="1"/>
  <c r="D152" i="20"/>
  <c r="D151" i="20"/>
  <c r="D150" i="20"/>
  <c r="C152" i="20"/>
  <c r="C151" i="20"/>
  <c r="C150" i="20"/>
  <c r="C149" i="20"/>
  <c r="A149" i="20"/>
  <c r="B149" i="20"/>
  <c r="C78" i="17"/>
  <c r="D111" i="17"/>
  <c r="G110" i="17" s="1"/>
  <c r="C111" i="17"/>
  <c r="D129" i="18"/>
  <c r="G128" i="18" s="1"/>
  <c r="C129" i="18"/>
  <c r="D154" i="20"/>
  <c r="G153" i="20" s="1"/>
  <c r="C154" i="20"/>
  <c r="D145" i="21"/>
  <c r="G144" i="21" s="1"/>
  <c r="C145" i="21"/>
  <c r="A144" i="21"/>
  <c r="C144" i="21"/>
  <c r="B144" i="21"/>
  <c r="C153" i="20"/>
  <c r="A153" i="20"/>
  <c r="B153" i="20"/>
  <c r="C128" i="18"/>
  <c r="A128" i="18"/>
  <c r="B128" i="18"/>
  <c r="C110" i="17"/>
  <c r="A110" i="17"/>
  <c r="B110" i="17"/>
  <c r="D173" i="23"/>
  <c r="G172" i="23" s="1"/>
  <c r="C173" i="23"/>
  <c r="C172" i="23"/>
  <c r="B172" i="23"/>
  <c r="A172" i="23"/>
  <c r="B174" i="23"/>
  <c r="D24" i="18"/>
  <c r="F24" i="18" s="1"/>
  <c r="D23" i="18"/>
  <c r="F23" i="18" s="1"/>
  <c r="D21" i="18"/>
  <c r="F21" i="18" s="1"/>
  <c r="D20" i="18"/>
  <c r="F20" i="18" s="1"/>
  <c r="C24" i="18"/>
  <c r="C23" i="18"/>
  <c r="C22" i="18"/>
  <c r="C21" i="18"/>
  <c r="C20" i="18"/>
  <c r="C19" i="18"/>
  <c r="C18" i="18"/>
  <c r="A18" i="18"/>
  <c r="B18" i="18"/>
  <c r="D23" i="15"/>
  <c r="C23" i="15"/>
  <c r="D22" i="15"/>
  <c r="C22" i="15"/>
  <c r="D21" i="15"/>
  <c r="C21" i="15"/>
  <c r="D20" i="15"/>
  <c r="C20" i="15"/>
  <c r="D65" i="27"/>
  <c r="D64" i="27"/>
  <c r="D63" i="27"/>
  <c r="D62" i="27"/>
  <c r="C65" i="27"/>
  <c r="C64" i="27"/>
  <c r="C63" i="27"/>
  <c r="C62" i="27"/>
  <c r="C61" i="27"/>
  <c r="B61" i="27"/>
  <c r="A61" i="27"/>
  <c r="G18" i="18" l="1"/>
  <c r="C42" i="21"/>
  <c r="C41" i="21"/>
  <c r="C40" i="21"/>
  <c r="C39" i="21"/>
  <c r="C38" i="21"/>
  <c r="D22" i="23"/>
  <c r="D23" i="23"/>
  <c r="D24" i="23"/>
  <c r="D25" i="23"/>
  <c r="D26" i="23"/>
  <c r="D27" i="23"/>
  <c r="C27" i="23"/>
  <c r="C26" i="23"/>
  <c r="C25" i="23"/>
  <c r="C24" i="23"/>
  <c r="C23" i="23"/>
  <c r="D81" i="10"/>
  <c r="G81" i="10" s="1"/>
  <c r="D80" i="10"/>
  <c r="G80" i="10" s="1"/>
  <c r="G68" i="27"/>
  <c r="G21" i="23" l="1"/>
  <c r="G36" i="21"/>
  <c r="D26" i="20"/>
  <c r="C26" i="20"/>
  <c r="D25" i="20"/>
  <c r="C25" i="20"/>
  <c r="D24" i="20"/>
  <c r="C24" i="20"/>
  <c r="D95" i="18"/>
  <c r="G95" i="18" s="1"/>
  <c r="D91" i="18"/>
  <c r="C94" i="18"/>
  <c r="C92" i="18"/>
  <c r="C91" i="18"/>
  <c r="G120" i="15"/>
  <c r="D117" i="15"/>
  <c r="D116" i="15"/>
  <c r="C120" i="15"/>
  <c r="C119" i="15"/>
  <c r="C117" i="15"/>
  <c r="C116" i="15"/>
  <c r="D78" i="17"/>
  <c r="G78" i="17" s="1"/>
  <c r="D77" i="17"/>
  <c r="G77" i="17" s="1"/>
  <c r="D74" i="17"/>
  <c r="C77" i="17"/>
  <c r="C75" i="17"/>
  <c r="C74" i="17"/>
  <c r="D24" i="31"/>
  <c r="F24" i="31" s="1"/>
  <c r="C24" i="31"/>
  <c r="D36" i="8"/>
  <c r="F36" i="8" s="1"/>
  <c r="C36" i="8"/>
  <c r="D35" i="8"/>
  <c r="F35" i="8" s="1"/>
  <c r="C35" i="8"/>
  <c r="D34" i="8"/>
  <c r="C34" i="8"/>
  <c r="D33" i="8"/>
  <c r="C33" i="8"/>
  <c r="D77" i="10"/>
  <c r="C81" i="10"/>
  <c r="C80" i="10"/>
  <c r="C77" i="10"/>
  <c r="D40" i="9"/>
  <c r="C40" i="9"/>
  <c r="D39" i="9"/>
  <c r="C39" i="9"/>
  <c r="D38" i="9"/>
  <c r="C38" i="9"/>
  <c r="D37" i="9"/>
  <c r="C37" i="9"/>
  <c r="D36" i="9"/>
  <c r="C36" i="9"/>
  <c r="D26" i="8"/>
  <c r="C26" i="8"/>
  <c r="D25" i="8"/>
  <c r="C25" i="8"/>
  <c r="D24" i="8"/>
  <c r="C24" i="8"/>
  <c r="D23" i="8"/>
  <c r="C23" i="8"/>
  <c r="D22" i="8"/>
  <c r="C22" i="8"/>
  <c r="D17" i="46"/>
  <c r="F17" i="46" s="1"/>
  <c r="D16" i="46"/>
  <c r="F16" i="46" s="1"/>
  <c r="D15" i="46"/>
  <c r="F15" i="46" s="1"/>
  <c r="D14" i="46"/>
  <c r="F14" i="46" s="1"/>
  <c r="C17" i="46"/>
  <c r="C16" i="46"/>
  <c r="C15" i="46"/>
  <c r="C14" i="46"/>
  <c r="C13" i="46"/>
  <c r="A13" i="46"/>
  <c r="B13" i="46"/>
  <c r="D12" i="46"/>
  <c r="F12" i="46" s="1"/>
  <c r="C12" i="46"/>
  <c r="D11" i="46"/>
  <c r="F11" i="46" s="1"/>
  <c r="C11" i="46"/>
  <c r="D10" i="46"/>
  <c r="F10" i="46" s="1"/>
  <c r="C10" i="46"/>
  <c r="D8" i="46"/>
  <c r="F8" i="46" s="1"/>
  <c r="C8" i="46"/>
  <c r="D7" i="46"/>
  <c r="F7" i="46" s="1"/>
  <c r="C7" i="46"/>
  <c r="C6" i="46"/>
  <c r="B6" i="46"/>
  <c r="A6" i="46"/>
  <c r="D59" i="23"/>
  <c r="D58" i="23"/>
  <c r="D57" i="23"/>
  <c r="C59" i="23"/>
  <c r="C58" i="23"/>
  <c r="C57" i="23"/>
  <c r="D132" i="23"/>
  <c r="C132" i="23"/>
  <c r="D19" i="23"/>
  <c r="C19" i="23"/>
  <c r="D18" i="23"/>
  <c r="C18" i="23"/>
  <c r="A146" i="21"/>
  <c r="D66" i="21"/>
  <c r="C66" i="21"/>
  <c r="D65" i="21"/>
  <c r="C65" i="21"/>
  <c r="D64" i="21"/>
  <c r="C64" i="21"/>
  <c r="D116" i="21"/>
  <c r="C116" i="21"/>
  <c r="D91" i="21"/>
  <c r="C91" i="21"/>
  <c r="D90" i="21"/>
  <c r="C90" i="21"/>
  <c r="D89" i="21"/>
  <c r="C89" i="21"/>
  <c r="D41" i="20"/>
  <c r="F41" i="20" s="1"/>
  <c r="D40" i="20"/>
  <c r="F40" i="20" s="1"/>
  <c r="D39" i="20"/>
  <c r="F39" i="20" s="1"/>
  <c r="C41" i="20"/>
  <c r="C40" i="20"/>
  <c r="C39" i="20"/>
  <c r="D120" i="20"/>
  <c r="D117" i="20"/>
  <c r="D113" i="20"/>
  <c r="C113" i="20"/>
  <c r="D89" i="20"/>
  <c r="C89" i="20"/>
  <c r="D88" i="20"/>
  <c r="C88" i="20"/>
  <c r="D87" i="20"/>
  <c r="C87" i="20"/>
  <c r="D86" i="20"/>
  <c r="C86" i="20"/>
  <c r="B155" i="20"/>
  <c r="A155" i="20"/>
  <c r="D58" i="20"/>
  <c r="D57" i="20"/>
  <c r="D56" i="20"/>
  <c r="D55" i="20"/>
  <c r="D54" i="20"/>
  <c r="C58" i="20"/>
  <c r="C57" i="20"/>
  <c r="C56" i="20"/>
  <c r="C55" i="20"/>
  <c r="D84" i="18"/>
  <c r="C84" i="18"/>
  <c r="D105" i="15"/>
  <c r="G115" i="23"/>
  <c r="G66" i="20"/>
  <c r="D62" i="17"/>
  <c r="D61" i="17"/>
  <c r="D60" i="17"/>
  <c r="C62" i="17"/>
  <c r="C61" i="17"/>
  <c r="A73" i="17"/>
  <c r="B73" i="17"/>
  <c r="C73" i="17"/>
  <c r="D72" i="17"/>
  <c r="C72" i="17"/>
  <c r="D69" i="17"/>
  <c r="C69" i="17"/>
  <c r="C68" i="17"/>
  <c r="A68" i="17"/>
  <c r="B68" i="17"/>
  <c r="D51" i="17"/>
  <c r="C51" i="17"/>
  <c r="D50" i="17"/>
  <c r="C50" i="17"/>
  <c r="D49" i="17"/>
  <c r="C49" i="17"/>
  <c r="D48" i="17"/>
  <c r="C48" i="17"/>
  <c r="D19" i="17"/>
  <c r="C19" i="17"/>
  <c r="D18" i="17"/>
  <c r="C18" i="17"/>
  <c r="D17" i="17"/>
  <c r="C17" i="17"/>
  <c r="D16" i="17"/>
  <c r="C16" i="17"/>
  <c r="D120" i="14"/>
  <c r="F120" i="14" s="1"/>
  <c r="D119" i="14"/>
  <c r="F119" i="14" s="1"/>
  <c r="D118" i="14"/>
  <c r="F118" i="14" s="1"/>
  <c r="D117" i="14"/>
  <c r="F117" i="14" s="1"/>
  <c r="D87" i="14"/>
  <c r="C87" i="14"/>
  <c r="D86" i="14"/>
  <c r="C86" i="14"/>
  <c r="D69" i="14"/>
  <c r="D68" i="14"/>
  <c r="D67" i="14"/>
  <c r="D66" i="14"/>
  <c r="D65" i="14"/>
  <c r="D64" i="14"/>
  <c r="C69" i="14"/>
  <c r="C68" i="14"/>
  <c r="C67" i="14"/>
  <c r="C66" i="14"/>
  <c r="C65" i="14"/>
  <c r="C64" i="14"/>
  <c r="D89" i="9"/>
  <c r="F89" i="9" s="1"/>
  <c r="D88" i="9"/>
  <c r="F88" i="9" s="1"/>
  <c r="D87" i="9"/>
  <c r="F87" i="9" s="1"/>
  <c r="D86" i="9"/>
  <c r="F86" i="9" s="1"/>
  <c r="C89" i="9"/>
  <c r="C88" i="9"/>
  <c r="C87" i="9"/>
  <c r="C86" i="9"/>
  <c r="C85" i="9"/>
  <c r="A85" i="9"/>
  <c r="B85" i="9"/>
  <c r="D100" i="11"/>
  <c r="D99" i="11"/>
  <c r="D98" i="11"/>
  <c r="C100" i="11"/>
  <c r="C99" i="11"/>
  <c r="D82" i="11"/>
  <c r="D81" i="11"/>
  <c r="D80" i="11"/>
  <c r="D79" i="11"/>
  <c r="D78" i="11"/>
  <c r="D77" i="11"/>
  <c r="C82" i="11"/>
  <c r="C81" i="11"/>
  <c r="C80" i="11"/>
  <c r="C79" i="11"/>
  <c r="C78" i="11"/>
  <c r="C77" i="11"/>
  <c r="C57" i="11"/>
  <c r="C56" i="11"/>
  <c r="C55" i="11"/>
  <c r="C54" i="11"/>
  <c r="C53" i="11"/>
  <c r="D74" i="10"/>
  <c r="C74" i="10"/>
  <c r="D73" i="10"/>
  <c r="C73" i="10"/>
  <c r="D72" i="10"/>
  <c r="D36" i="10"/>
  <c r="D35" i="10"/>
  <c r="D34" i="10"/>
  <c r="D33" i="10"/>
  <c r="D32" i="10"/>
  <c r="C36" i="10"/>
  <c r="C35" i="10"/>
  <c r="C34" i="10"/>
  <c r="C33" i="10"/>
  <c r="C32" i="10"/>
  <c r="D63" i="9"/>
  <c r="C63" i="9"/>
  <c r="D62" i="9"/>
  <c r="C62" i="9"/>
  <c r="D39" i="12"/>
  <c r="C39" i="12"/>
  <c r="D38" i="12"/>
  <c r="C38" i="12"/>
  <c r="D37" i="12"/>
  <c r="C37" i="12"/>
  <c r="D36" i="12"/>
  <c r="C36" i="12"/>
  <c r="D35" i="12"/>
  <c r="C35" i="12"/>
  <c r="C34" i="12"/>
  <c r="D14" i="12"/>
  <c r="F14" i="12" s="1"/>
  <c r="C14" i="12"/>
  <c r="D13" i="12"/>
  <c r="F13" i="12" s="1"/>
  <c r="C13" i="12"/>
  <c r="C12" i="12"/>
  <c r="D11" i="12"/>
  <c r="F11" i="12" s="1"/>
  <c r="C11" i="12"/>
  <c r="D10" i="12"/>
  <c r="F10" i="12" s="1"/>
  <c r="C10" i="12"/>
  <c r="C9" i="12"/>
  <c r="D55" i="8"/>
  <c r="C55" i="8"/>
  <c r="D54" i="8"/>
  <c r="C54" i="8"/>
  <c r="D53" i="8"/>
  <c r="C53" i="8"/>
  <c r="D52" i="8"/>
  <c r="C52" i="8"/>
  <c r="D99" i="8"/>
  <c r="F99" i="8" s="1"/>
  <c r="D98" i="8"/>
  <c r="F98" i="8" s="1"/>
  <c r="D97" i="8"/>
  <c r="F97" i="8" s="1"/>
  <c r="D96" i="8"/>
  <c r="F96" i="8" s="1"/>
  <c r="C99" i="8"/>
  <c r="C98" i="8"/>
  <c r="C97" i="8"/>
  <c r="C96" i="8"/>
  <c r="C95" i="8"/>
  <c r="A95" i="8"/>
  <c r="B95" i="8"/>
  <c r="C70" i="9"/>
  <c r="C120" i="20"/>
  <c r="C117" i="20"/>
  <c r="C116" i="20"/>
  <c r="A116" i="20"/>
  <c r="B116" i="20"/>
  <c r="D114" i="15"/>
  <c r="D111" i="15"/>
  <c r="C114" i="15"/>
  <c r="C111" i="15"/>
  <c r="C110" i="15"/>
  <c r="A110" i="15"/>
  <c r="B110" i="15"/>
  <c r="D13" i="14"/>
  <c r="F13" i="14" s="1"/>
  <c r="C13" i="14"/>
  <c r="D12" i="14"/>
  <c r="F12" i="14" s="1"/>
  <c r="C12" i="14"/>
  <c r="D11" i="14"/>
  <c r="F11" i="14" s="1"/>
  <c r="C11" i="14"/>
  <c r="D10" i="14"/>
  <c r="F10" i="14" s="1"/>
  <c r="C10" i="14"/>
  <c r="D9" i="14"/>
  <c r="C9" i="14"/>
  <c r="D8" i="14"/>
  <c r="C8" i="14"/>
  <c r="D14" i="10"/>
  <c r="F14" i="10" s="1"/>
  <c r="C14" i="10"/>
  <c r="D13" i="10"/>
  <c r="F13" i="10" s="1"/>
  <c r="C13" i="10"/>
  <c r="C12" i="10"/>
  <c r="D11" i="10"/>
  <c r="F11" i="10" s="1"/>
  <c r="C11" i="10"/>
  <c r="D10" i="10"/>
  <c r="F10" i="10" s="1"/>
  <c r="C10" i="10"/>
  <c r="D19" i="31"/>
  <c r="F19" i="31" s="1"/>
  <c r="D18" i="31"/>
  <c r="F18" i="31" s="1"/>
  <c r="D16" i="31"/>
  <c r="F16" i="31" s="1"/>
  <c r="D15" i="31"/>
  <c r="F15" i="31" s="1"/>
  <c r="C19" i="31"/>
  <c r="C18" i="31"/>
  <c r="C17" i="31"/>
  <c r="C16" i="31"/>
  <c r="C15" i="31"/>
  <c r="C14" i="31"/>
  <c r="D148" i="15"/>
  <c r="D147" i="15"/>
  <c r="F147" i="15" s="1"/>
  <c r="D146" i="15"/>
  <c r="F146" i="15" s="1"/>
  <c r="D145" i="15"/>
  <c r="F145" i="15" s="1"/>
  <c r="C148" i="15"/>
  <c r="C147" i="15"/>
  <c r="C146" i="15"/>
  <c r="C145" i="15"/>
  <c r="C144" i="15"/>
  <c r="A144" i="15"/>
  <c r="B144" i="15"/>
  <c r="D34" i="21"/>
  <c r="C34" i="21"/>
  <c r="D33" i="21"/>
  <c r="C33" i="21"/>
  <c r="C31" i="21"/>
  <c r="C32" i="21"/>
  <c r="D29" i="21"/>
  <c r="F29" i="21" s="1"/>
  <c r="D28" i="21"/>
  <c r="F28" i="21" s="1"/>
  <c r="D26" i="21"/>
  <c r="F26" i="21" s="1"/>
  <c r="D25" i="21"/>
  <c r="F25" i="21" s="1"/>
  <c r="C29" i="21"/>
  <c r="C28" i="21"/>
  <c r="C27" i="21"/>
  <c r="C26" i="21"/>
  <c r="C25" i="21"/>
  <c r="C24" i="21"/>
  <c r="B146" i="21"/>
  <c r="D21" i="20"/>
  <c r="F21" i="20" s="1"/>
  <c r="D20" i="20"/>
  <c r="F20" i="20" s="1"/>
  <c r="D18" i="20"/>
  <c r="F18" i="20" s="1"/>
  <c r="D17" i="20"/>
  <c r="C21" i="20"/>
  <c r="C20" i="20"/>
  <c r="C19" i="20"/>
  <c r="C18" i="20"/>
  <c r="C17" i="20"/>
  <c r="C16" i="20"/>
  <c r="C115" i="15"/>
  <c r="A115" i="15"/>
  <c r="B115" i="15"/>
  <c r="D109" i="17"/>
  <c r="F109" i="17" s="1"/>
  <c r="D108" i="17"/>
  <c r="F108" i="17" s="1"/>
  <c r="D107" i="17"/>
  <c r="F107" i="17" s="1"/>
  <c r="D106" i="17"/>
  <c r="F106" i="17" s="1"/>
  <c r="C109" i="17"/>
  <c r="C108" i="17"/>
  <c r="C107" i="17"/>
  <c r="C106" i="17"/>
  <c r="C105" i="17"/>
  <c r="A105" i="17"/>
  <c r="B105" i="17"/>
  <c r="D124" i="15"/>
  <c r="F124" i="15" s="1"/>
  <c r="D123" i="15"/>
  <c r="F123" i="15" s="1"/>
  <c r="D122" i="15"/>
  <c r="F122" i="15" s="1"/>
  <c r="C124" i="15"/>
  <c r="C123" i="15"/>
  <c r="C122" i="15"/>
  <c r="C121" i="15"/>
  <c r="A121" i="15"/>
  <c r="B121" i="15"/>
  <c r="D17" i="15"/>
  <c r="F17" i="15" s="1"/>
  <c r="D16" i="15"/>
  <c r="F16" i="15" s="1"/>
  <c r="D14" i="15"/>
  <c r="F14" i="15" s="1"/>
  <c r="D13" i="15"/>
  <c r="F13" i="15" s="1"/>
  <c r="C17" i="15"/>
  <c r="C16" i="15"/>
  <c r="C15" i="15"/>
  <c r="C14" i="15"/>
  <c r="C13" i="15"/>
  <c r="C12" i="15"/>
  <c r="D17" i="11"/>
  <c r="F17" i="11" s="1"/>
  <c r="C17" i="11"/>
  <c r="D16" i="11"/>
  <c r="F16" i="11" s="1"/>
  <c r="C16" i="11"/>
  <c r="C15" i="11"/>
  <c r="D14" i="11"/>
  <c r="C14" i="11"/>
  <c r="D13" i="11"/>
  <c r="C13" i="11"/>
  <c r="C12" i="11"/>
  <c r="C9" i="10"/>
  <c r="C8" i="10"/>
  <c r="A8" i="10"/>
  <c r="B8" i="10"/>
  <c r="C120" i="14"/>
  <c r="C119" i="14"/>
  <c r="C118" i="14"/>
  <c r="C117" i="14"/>
  <c r="C116" i="14"/>
  <c r="A116" i="14"/>
  <c r="B116" i="14"/>
  <c r="G90" i="18" l="1"/>
  <c r="G23" i="21"/>
  <c r="G11" i="15"/>
  <c r="G68" i="17"/>
  <c r="G76" i="10"/>
  <c r="G6" i="46"/>
  <c r="G116" i="20"/>
  <c r="G115" i="15"/>
  <c r="G73" i="17"/>
  <c r="G38" i="20"/>
  <c r="G110" i="15"/>
  <c r="G85" i="9"/>
  <c r="G95" i="8"/>
  <c r="G13" i="46"/>
  <c r="G116" i="14"/>
  <c r="G105" i="17"/>
  <c r="G144" i="15"/>
  <c r="G121" i="15"/>
  <c r="G8" i="10"/>
  <c r="D155" i="20" l="1"/>
  <c r="G155" i="20" s="1"/>
  <c r="D146" i="21"/>
  <c r="G146" i="21" s="1"/>
  <c r="C88" i="17" l="1"/>
  <c r="C87" i="17"/>
  <c r="C86" i="17"/>
  <c r="C85" i="17"/>
  <c r="C84" i="17"/>
  <c r="C130" i="15"/>
  <c r="C129" i="15"/>
  <c r="C128" i="15"/>
  <c r="C127" i="15"/>
  <c r="C126" i="15"/>
  <c r="C93" i="14"/>
  <c r="C92" i="14"/>
  <c r="C91" i="14"/>
  <c r="C90" i="14"/>
  <c r="C89" i="14"/>
  <c r="C106" i="11"/>
  <c r="C105" i="11"/>
  <c r="C104" i="11"/>
  <c r="C103" i="11"/>
  <c r="C102" i="11"/>
  <c r="C87" i="10"/>
  <c r="C86" i="10"/>
  <c r="C85" i="10"/>
  <c r="C84" i="10"/>
  <c r="C83" i="10"/>
  <c r="C69" i="9"/>
  <c r="C68" i="9"/>
  <c r="C67" i="9"/>
  <c r="C66" i="9"/>
  <c r="C65" i="9"/>
  <c r="C75" i="8"/>
  <c r="C74" i="8"/>
  <c r="C73" i="8"/>
  <c r="C72" i="8"/>
  <c r="C71" i="8"/>
  <c r="C37" i="21" l="1"/>
  <c r="C36" i="21"/>
  <c r="A36" i="21"/>
  <c r="B36" i="21"/>
  <c r="B11" i="8" l="1"/>
  <c r="B10" i="8"/>
  <c r="B9" i="8"/>
  <c r="B8" i="8"/>
  <c r="B7" i="8"/>
  <c r="B6" i="8"/>
  <c r="B5" i="8"/>
  <c r="B4" i="8"/>
  <c r="B57" i="27"/>
  <c r="B48" i="27"/>
  <c r="B47" i="27"/>
  <c r="B46" i="27"/>
  <c r="B41" i="27"/>
  <c r="B34" i="27"/>
  <c r="B29" i="27"/>
  <c r="B24" i="27"/>
  <c r="B20" i="27"/>
  <c r="B19" i="27"/>
  <c r="B12" i="27"/>
  <c r="B11" i="27"/>
  <c r="B10" i="27"/>
  <c r="B176" i="23"/>
  <c r="B175" i="23"/>
  <c r="B171" i="23"/>
  <c r="B166" i="23"/>
  <c r="B159" i="23"/>
  <c r="B152" i="23"/>
  <c r="B151" i="23"/>
  <c r="B148" i="23"/>
  <c r="B142" i="23"/>
  <c r="B91" i="23"/>
  <c r="B85" i="23"/>
  <c r="B82" i="23"/>
  <c r="B77" i="23"/>
  <c r="B71" i="23"/>
  <c r="B64" i="23"/>
  <c r="B60" i="23"/>
  <c r="B56" i="23"/>
  <c r="B50" i="23"/>
  <c r="B47" i="23"/>
  <c r="B44" i="23"/>
  <c r="B28" i="23"/>
  <c r="B37" i="23"/>
  <c r="B21" i="23"/>
  <c r="B138" i="23"/>
  <c r="B137" i="23"/>
  <c r="B133" i="23"/>
  <c r="B129" i="23"/>
  <c r="B115" i="23"/>
  <c r="B122" i="23"/>
  <c r="B109" i="23"/>
  <c r="B103" i="23"/>
  <c r="B96" i="23"/>
  <c r="B15" i="23"/>
  <c r="B143" i="21"/>
  <c r="B138" i="21"/>
  <c r="B131" i="21"/>
  <c r="B130" i="21"/>
  <c r="B127" i="21"/>
  <c r="B121" i="21"/>
  <c r="B83" i="21"/>
  <c r="B77" i="21"/>
  <c r="B71" i="21"/>
  <c r="B67" i="21"/>
  <c r="B52" i="21"/>
  <c r="B60" i="21"/>
  <c r="B57" i="21"/>
  <c r="B63" i="21"/>
  <c r="B43" i="21"/>
  <c r="B117" i="21"/>
  <c r="B113" i="21"/>
  <c r="B99" i="21"/>
  <c r="B106" i="21"/>
  <c r="B92" i="21"/>
  <c r="B86" i="21"/>
  <c r="B30" i="21"/>
  <c r="B23" i="21"/>
  <c r="G3" i="21"/>
  <c r="B148" i="20"/>
  <c r="B143" i="20"/>
  <c r="B136" i="20"/>
  <c r="B130" i="20"/>
  <c r="B47" i="20"/>
  <c r="B42" i="20"/>
  <c r="B38" i="20"/>
  <c r="B29" i="20"/>
  <c r="B22" i="20"/>
  <c r="B125" i="20"/>
  <c r="B121" i="20"/>
  <c r="B115" i="20"/>
  <c r="B114" i="20"/>
  <c r="B110" i="20"/>
  <c r="B90" i="20"/>
  <c r="B83" i="20"/>
  <c r="B97" i="20"/>
  <c r="B104" i="20"/>
  <c r="B79" i="20"/>
  <c r="B73" i="20"/>
  <c r="B67" i="20"/>
  <c r="B66" i="20"/>
  <c r="B59" i="20"/>
  <c r="B53" i="20"/>
  <c r="B15" i="20"/>
  <c r="G7" i="20"/>
  <c r="G6" i="20"/>
  <c r="G5" i="20"/>
  <c r="B130" i="18"/>
  <c r="B90" i="18"/>
  <c r="B127" i="18"/>
  <c r="B122" i="18"/>
  <c r="B115" i="18"/>
  <c r="B109" i="18"/>
  <c r="B44" i="18"/>
  <c r="B34" i="18"/>
  <c r="B41" i="18"/>
  <c r="B25" i="18"/>
  <c r="B104" i="18"/>
  <c r="B100" i="18"/>
  <c r="B96" i="18"/>
  <c r="B89" i="18"/>
  <c r="B81" i="18"/>
  <c r="B67" i="18"/>
  <c r="B60" i="18"/>
  <c r="B85" i="18"/>
  <c r="B74" i="18"/>
  <c r="B54" i="18"/>
  <c r="B48" i="18"/>
  <c r="G14" i="18"/>
  <c r="B152" i="15"/>
  <c r="B151" i="15"/>
  <c r="B150" i="15"/>
  <c r="B149" i="15"/>
  <c r="B141" i="15"/>
  <c r="B135" i="15"/>
  <c r="B57" i="15"/>
  <c r="B53" i="15"/>
  <c r="B47" i="15"/>
  <c r="B41" i="15"/>
  <c r="B31" i="15"/>
  <c r="B38" i="15"/>
  <c r="B131" i="15"/>
  <c r="B125" i="15"/>
  <c r="B102" i="15"/>
  <c r="B95" i="15"/>
  <c r="B106" i="15"/>
  <c r="B91" i="15"/>
  <c r="B85" i="15"/>
  <c r="B79" i="15"/>
  <c r="B73" i="15"/>
  <c r="B66" i="15"/>
  <c r="B60" i="15"/>
  <c r="B18" i="15"/>
  <c r="B11" i="15"/>
  <c r="B113" i="17"/>
  <c r="B112" i="17"/>
  <c r="B99" i="17"/>
  <c r="B95" i="17"/>
  <c r="B89" i="17"/>
  <c r="B83" i="17"/>
  <c r="B79" i="17"/>
  <c r="B67" i="17"/>
  <c r="B59" i="17"/>
  <c r="B52" i="17"/>
  <c r="B45" i="17"/>
  <c r="B63" i="17"/>
  <c r="B41" i="17"/>
  <c r="B35" i="17"/>
  <c r="B34" i="17"/>
  <c r="B33" i="17"/>
  <c r="B27" i="17"/>
  <c r="B20" i="17"/>
  <c r="B14" i="17"/>
  <c r="B109" i="14"/>
  <c r="B38" i="14"/>
  <c r="B33" i="14"/>
  <c r="B27" i="14"/>
  <c r="B21" i="14"/>
  <c r="B104" i="14"/>
  <c r="B100" i="14"/>
  <c r="B94" i="14"/>
  <c r="B88" i="14"/>
  <c r="B84" i="14"/>
  <c r="B70" i="14"/>
  <c r="B63" i="14"/>
  <c r="B77" i="14"/>
  <c r="B57" i="14"/>
  <c r="B51" i="14"/>
  <c r="B45" i="14"/>
  <c r="B7" i="14"/>
  <c r="B133" i="11"/>
  <c r="B126" i="11"/>
  <c r="B45" i="11"/>
  <c r="B41" i="11"/>
  <c r="B37" i="11"/>
  <c r="B32" i="11"/>
  <c r="B18" i="11"/>
  <c r="B121" i="11"/>
  <c r="B117" i="11"/>
  <c r="B113" i="11"/>
  <c r="B107" i="11"/>
  <c r="B101" i="11"/>
  <c r="B97" i="11"/>
  <c r="B83" i="11"/>
  <c r="B76" i="11"/>
  <c r="B90" i="11"/>
  <c r="B71" i="11"/>
  <c r="B65" i="11"/>
  <c r="B58" i="11"/>
  <c r="B52" i="11"/>
  <c r="B11" i="11"/>
  <c r="B108" i="10"/>
  <c r="B76" i="10"/>
  <c r="B24" i="10"/>
  <c r="B20" i="10"/>
  <c r="B15" i="10"/>
  <c r="B98" i="10"/>
  <c r="B94" i="10"/>
  <c r="B88" i="10"/>
  <c r="B82" i="10"/>
  <c r="B75" i="10"/>
  <c r="B71" i="10"/>
  <c r="B57" i="10"/>
  <c r="B64" i="10"/>
  <c r="B51" i="10"/>
  <c r="B45" i="10"/>
  <c r="B44" i="10"/>
  <c r="B37" i="10"/>
  <c r="B31" i="10"/>
  <c r="B95" i="9"/>
  <c r="B12" i="9"/>
  <c r="B7" i="9"/>
  <c r="B80" i="9"/>
  <c r="B76" i="9"/>
  <c r="B70" i="9"/>
  <c r="B64" i="9"/>
  <c r="B60" i="9"/>
  <c r="B41" i="9"/>
  <c r="B34" i="9"/>
  <c r="B48" i="9"/>
  <c r="B54" i="9"/>
  <c r="B28" i="9"/>
  <c r="B22" i="9"/>
  <c r="B16" i="9"/>
  <c r="G3" i="9"/>
  <c r="B53" i="12"/>
  <c r="B47" i="12"/>
  <c r="B40" i="12"/>
  <c r="B33" i="12"/>
  <c r="B27" i="12"/>
  <c r="B21" i="12"/>
  <c r="B15" i="12"/>
  <c r="B8" i="12"/>
  <c r="B20" i="31"/>
  <c r="B46" i="31"/>
  <c r="B40" i="31"/>
  <c r="B27" i="31"/>
  <c r="B13" i="31"/>
  <c r="G7" i="31"/>
  <c r="B31" i="8"/>
  <c r="B27" i="8"/>
  <c r="B20" i="8"/>
  <c r="B90" i="8"/>
  <c r="B86" i="8"/>
  <c r="B82" i="8"/>
  <c r="B76" i="8"/>
  <c r="B70" i="8"/>
  <c r="B56" i="8"/>
  <c r="B49" i="8"/>
  <c r="B63" i="8"/>
  <c r="B43" i="8"/>
  <c r="B37" i="8"/>
  <c r="G10" i="31" l="1"/>
  <c r="G9" i="31"/>
  <c r="B8" i="27" l="1"/>
  <c r="B7" i="27"/>
  <c r="B6" i="27"/>
  <c r="B4" i="27"/>
  <c r="B3" i="27"/>
  <c r="A8" i="27"/>
  <c r="A7" i="27"/>
  <c r="A6" i="27"/>
  <c r="A4" i="27"/>
  <c r="A3" i="27"/>
  <c r="B12" i="23"/>
  <c r="B11" i="23"/>
  <c r="B10" i="23"/>
  <c r="B9" i="23"/>
  <c r="B8" i="23"/>
  <c r="B7" i="23"/>
  <c r="B6" i="23"/>
  <c r="B5" i="23"/>
  <c r="B4" i="23"/>
  <c r="B3" i="23"/>
  <c r="A13" i="23"/>
  <c r="A12" i="23"/>
  <c r="A11" i="23"/>
  <c r="A10" i="23"/>
  <c r="A9" i="23"/>
  <c r="A8" i="23"/>
  <c r="A7" i="23"/>
  <c r="A6" i="23"/>
  <c r="A5" i="23"/>
  <c r="A4" i="23"/>
  <c r="A3" i="23"/>
  <c r="B17" i="21"/>
  <c r="B15" i="21"/>
  <c r="B14" i="21"/>
  <c r="B13" i="21"/>
  <c r="B12" i="21"/>
  <c r="B11" i="21"/>
  <c r="B10" i="21"/>
  <c r="B9" i="21"/>
  <c r="B8" i="21"/>
  <c r="B7" i="21"/>
  <c r="B6" i="21"/>
  <c r="B5" i="21"/>
  <c r="B4" i="21"/>
  <c r="B3" i="21"/>
  <c r="A17" i="21"/>
  <c r="A16" i="21"/>
  <c r="A15" i="21"/>
  <c r="A14" i="21"/>
  <c r="A13" i="21"/>
  <c r="A12" i="21"/>
  <c r="A11" i="21"/>
  <c r="A10" i="21"/>
  <c r="A9" i="21"/>
  <c r="A8" i="21"/>
  <c r="A7" i="21"/>
  <c r="A6" i="21"/>
  <c r="A5" i="21"/>
  <c r="A4" i="21"/>
  <c r="A3" i="21"/>
  <c r="B13" i="20"/>
  <c r="B12" i="20"/>
  <c r="B11" i="20"/>
  <c r="B10" i="20"/>
  <c r="B9" i="20"/>
  <c r="B8" i="20"/>
  <c r="B7" i="20"/>
  <c r="B6" i="20"/>
  <c r="B5" i="20"/>
  <c r="B4" i="20"/>
  <c r="B3" i="20"/>
  <c r="A13" i="20"/>
  <c r="A12" i="20"/>
  <c r="A11" i="20"/>
  <c r="A10" i="20"/>
  <c r="A9" i="20"/>
  <c r="A8" i="20"/>
  <c r="A7" i="20"/>
  <c r="A6" i="20"/>
  <c r="A5" i="20"/>
  <c r="A4" i="20"/>
  <c r="A3" i="20"/>
  <c r="B16" i="18"/>
  <c r="B14" i="18"/>
  <c r="B13" i="18"/>
  <c r="B12" i="18"/>
  <c r="B11" i="18"/>
  <c r="B10" i="18"/>
  <c r="B8" i="18"/>
  <c r="B7" i="18"/>
  <c r="B6" i="18"/>
  <c r="B5" i="18"/>
  <c r="B4" i="18"/>
  <c r="B3" i="18"/>
  <c r="A16" i="18"/>
  <c r="A14" i="18"/>
  <c r="A13" i="18"/>
  <c r="A12" i="18"/>
  <c r="A11" i="18"/>
  <c r="A10" i="18"/>
  <c r="A8" i="18"/>
  <c r="A7" i="18"/>
  <c r="A6" i="18"/>
  <c r="A5" i="18"/>
  <c r="A4" i="18"/>
  <c r="A3" i="18"/>
  <c r="B6" i="15"/>
  <c r="B4" i="15"/>
  <c r="B3" i="15"/>
  <c r="A6" i="15"/>
  <c r="A4" i="15"/>
  <c r="A3" i="15"/>
  <c r="B12" i="17"/>
  <c r="B11" i="17"/>
  <c r="B10" i="17"/>
  <c r="B9" i="17"/>
  <c r="B8" i="17"/>
  <c r="B6" i="17"/>
  <c r="B5" i="17"/>
  <c r="B4" i="17"/>
  <c r="B3" i="17"/>
  <c r="A12" i="17"/>
  <c r="A11" i="17"/>
  <c r="A10" i="17"/>
  <c r="A9" i="17"/>
  <c r="A8" i="17"/>
  <c r="A6" i="17"/>
  <c r="A5" i="17"/>
  <c r="A4" i="17"/>
  <c r="A3" i="17"/>
  <c r="B5" i="14"/>
  <c r="B4" i="14"/>
  <c r="B3" i="14"/>
  <c r="A5" i="14"/>
  <c r="A4" i="14"/>
  <c r="A3" i="14"/>
  <c r="B9" i="11"/>
  <c r="B8" i="11"/>
  <c r="B7" i="11"/>
  <c r="B6" i="11"/>
  <c r="B5" i="11"/>
  <c r="B4" i="11"/>
  <c r="B3" i="11"/>
  <c r="A9" i="11"/>
  <c r="A8" i="11"/>
  <c r="A7" i="11"/>
  <c r="A6" i="11"/>
  <c r="A5" i="11"/>
  <c r="A4" i="11"/>
  <c r="A3" i="11"/>
  <c r="B6" i="10"/>
  <c r="B5" i="10"/>
  <c r="B4" i="10"/>
  <c r="B3" i="10"/>
  <c r="A6" i="10"/>
  <c r="A5" i="10"/>
  <c r="A4" i="10"/>
  <c r="A3" i="10"/>
  <c r="B5" i="9"/>
  <c r="B4" i="9"/>
  <c r="B3" i="9"/>
  <c r="A5" i="9"/>
  <c r="A4" i="9"/>
  <c r="A3" i="9"/>
  <c r="B6" i="12"/>
  <c r="B5" i="12"/>
  <c r="B3" i="12"/>
  <c r="A6" i="12"/>
  <c r="A5" i="12"/>
  <c r="A3" i="12"/>
  <c r="B11" i="31"/>
  <c r="B10" i="31"/>
  <c r="B9" i="31"/>
  <c r="B8" i="31"/>
  <c r="B7" i="31"/>
  <c r="B6" i="31"/>
  <c r="B5" i="31"/>
  <c r="B4" i="31"/>
  <c r="B3" i="31"/>
  <c r="A8" i="31"/>
  <c r="A11" i="31"/>
  <c r="A10" i="31"/>
  <c r="A9" i="31"/>
  <c r="A7" i="31"/>
  <c r="A6" i="31"/>
  <c r="A5" i="31"/>
  <c r="A4" i="31"/>
  <c r="A3" i="31"/>
  <c r="A11" i="8"/>
  <c r="A10" i="8"/>
  <c r="A9" i="8"/>
  <c r="A8" i="8"/>
  <c r="A7" i="8"/>
  <c r="A6" i="8"/>
  <c r="A5" i="8"/>
  <c r="A4" i="8"/>
  <c r="G8" i="27" l="1"/>
  <c r="G7" i="27"/>
  <c r="G6" i="27"/>
  <c r="G13" i="23"/>
  <c r="G12" i="23"/>
  <c r="G11" i="23"/>
  <c r="G10" i="23"/>
  <c r="G8" i="23"/>
  <c r="G7" i="23"/>
  <c r="G6" i="23"/>
  <c r="G5" i="23"/>
  <c r="G4" i="23"/>
  <c r="G3" i="23"/>
  <c r="G17" i="21"/>
  <c r="G16" i="21"/>
  <c r="G15" i="21"/>
  <c r="G14" i="21"/>
  <c r="G13" i="21"/>
  <c r="G11" i="21"/>
  <c r="G10" i="21"/>
  <c r="G9" i="21"/>
  <c r="G8" i="21"/>
  <c r="G7" i="21"/>
  <c r="G6" i="21"/>
  <c r="G5" i="21"/>
  <c r="G4" i="21"/>
  <c r="G13" i="20"/>
  <c r="G12" i="20"/>
  <c r="G10" i="20"/>
  <c r="G9" i="20"/>
  <c r="G8" i="20"/>
  <c r="G4" i="20"/>
  <c r="G3" i="20"/>
  <c r="G16" i="18"/>
  <c r="G13" i="18"/>
  <c r="G11" i="18"/>
  <c r="G12" i="18"/>
  <c r="G10" i="18"/>
  <c r="G8" i="18"/>
  <c r="G6" i="18"/>
  <c r="G5" i="18"/>
  <c r="G4" i="18"/>
  <c r="G3" i="18"/>
  <c r="G6" i="15"/>
  <c r="G4" i="15"/>
  <c r="G3" i="15"/>
  <c r="G12" i="17"/>
  <c r="G8" i="17"/>
  <c r="G6" i="17"/>
  <c r="G4" i="17"/>
  <c r="G3" i="17"/>
  <c r="G10" i="17"/>
  <c r="G5" i="17"/>
  <c r="G5" i="14"/>
  <c r="G4" i="14"/>
  <c r="G3" i="14"/>
  <c r="G9" i="11"/>
  <c r="G8" i="11"/>
  <c r="G5" i="11"/>
  <c r="G4" i="11"/>
  <c r="G6" i="10"/>
  <c r="G3" i="10"/>
  <c r="G5" i="9"/>
  <c r="G5" i="12"/>
  <c r="G11" i="31"/>
  <c r="G8" i="31"/>
  <c r="G6" i="31"/>
  <c r="G5" i="31"/>
  <c r="G4" i="31"/>
  <c r="G3" i="31"/>
  <c r="G11" i="8"/>
  <c r="G10" i="8"/>
  <c r="G9" i="8"/>
  <c r="G8" i="8"/>
  <c r="G5" i="8"/>
  <c r="D43" i="23"/>
  <c r="F43" i="23" s="1"/>
  <c r="D42" i="23"/>
  <c r="F42" i="23" s="1"/>
  <c r="G37" i="23" s="1"/>
  <c r="A37" i="23"/>
  <c r="C43" i="23"/>
  <c r="C42" i="23"/>
  <c r="C41" i="23"/>
  <c r="C38" i="23"/>
  <c r="C37" i="23"/>
  <c r="D60" i="27"/>
  <c r="F60" i="27" s="1"/>
  <c r="D59" i="27"/>
  <c r="F59" i="27" s="1"/>
  <c r="D58" i="27"/>
  <c r="F58" i="27" s="1"/>
  <c r="C60" i="27"/>
  <c r="C59" i="27"/>
  <c r="C58" i="27"/>
  <c r="C57" i="27"/>
  <c r="A57" i="27"/>
  <c r="G57" i="27" l="1"/>
  <c r="D114" i="20"/>
  <c r="G114" i="20" s="1"/>
  <c r="C114" i="20"/>
  <c r="A114" i="20"/>
  <c r="D47" i="27"/>
  <c r="D46" i="27"/>
  <c r="D45" i="27"/>
  <c r="F45" i="27" s="1"/>
  <c r="D36" i="27"/>
  <c r="F36" i="27" s="1"/>
  <c r="D33" i="27"/>
  <c r="F33" i="27" s="1"/>
  <c r="D32" i="27"/>
  <c r="F32" i="27" s="1"/>
  <c r="D31" i="27"/>
  <c r="F31" i="27" s="1"/>
  <c r="D30" i="27"/>
  <c r="F30" i="27" s="1"/>
  <c r="D25" i="27"/>
  <c r="F25" i="27" s="1"/>
  <c r="D23" i="27"/>
  <c r="F23" i="27" s="1"/>
  <c r="D16" i="27"/>
  <c r="F16" i="27" s="1"/>
  <c r="D11" i="27"/>
  <c r="D10" i="27"/>
  <c r="D167" i="23"/>
  <c r="D165" i="23"/>
  <c r="F165" i="23" s="1"/>
  <c r="D153" i="23"/>
  <c r="F153" i="23" s="1"/>
  <c r="D151" i="23"/>
  <c r="G151" i="23" s="1"/>
  <c r="D150" i="23"/>
  <c r="F150" i="23" s="1"/>
  <c r="D147" i="23"/>
  <c r="F147" i="23" s="1"/>
  <c r="D92" i="23"/>
  <c r="F92" i="23" s="1"/>
  <c r="D86" i="23"/>
  <c r="F86" i="23" s="1"/>
  <c r="D84" i="23"/>
  <c r="F84" i="23" s="1"/>
  <c r="D79" i="23"/>
  <c r="F79" i="23" s="1"/>
  <c r="D74" i="23"/>
  <c r="F74" i="23" s="1"/>
  <c r="D65" i="23"/>
  <c r="F65" i="23" s="1"/>
  <c r="D63" i="23"/>
  <c r="F63" i="23" s="1"/>
  <c r="F58" i="23"/>
  <c r="D53" i="23"/>
  <c r="F53" i="23" s="1"/>
  <c r="D49" i="23"/>
  <c r="F49" i="23" s="1"/>
  <c r="D45" i="23"/>
  <c r="F45" i="23" s="1"/>
  <c r="D36" i="23"/>
  <c r="F36" i="23" s="1"/>
  <c r="D35" i="23"/>
  <c r="F35" i="23" s="1"/>
  <c r="D34" i="23"/>
  <c r="F34" i="23" s="1"/>
  <c r="D33" i="23"/>
  <c r="F33" i="23" s="1"/>
  <c r="D32" i="23"/>
  <c r="F32" i="23" s="1"/>
  <c r="D31" i="23"/>
  <c r="F31" i="23" s="1"/>
  <c r="D30" i="23"/>
  <c r="F30" i="23" s="1"/>
  <c r="D29" i="23"/>
  <c r="D139" i="23"/>
  <c r="F139" i="23" s="1"/>
  <c r="D134" i="23"/>
  <c r="F134" i="23" s="1"/>
  <c r="D130" i="23"/>
  <c r="F130" i="23" s="1"/>
  <c r="D117" i="23"/>
  <c r="D128" i="23"/>
  <c r="F128" i="23" s="1"/>
  <c r="D110" i="23"/>
  <c r="F110" i="23" s="1"/>
  <c r="D107" i="23"/>
  <c r="F107" i="23" s="1"/>
  <c r="D98" i="23"/>
  <c r="F98" i="23" s="1"/>
  <c r="D17" i="23"/>
  <c r="D16" i="23"/>
  <c r="D139" i="21"/>
  <c r="F139" i="21" s="1"/>
  <c r="D137" i="21"/>
  <c r="F137" i="21" s="1"/>
  <c r="D130" i="21"/>
  <c r="G130" i="21" s="1"/>
  <c r="D129" i="21"/>
  <c r="F129" i="21" s="1"/>
  <c r="D126" i="21"/>
  <c r="F126" i="21" s="1"/>
  <c r="D79" i="21"/>
  <c r="F79" i="21" s="1"/>
  <c r="D74" i="21"/>
  <c r="F74" i="21" s="1"/>
  <c r="D70" i="21"/>
  <c r="F70" i="21" s="1"/>
  <c r="D53" i="21"/>
  <c r="F53" i="21" s="1"/>
  <c r="D62" i="21"/>
  <c r="F62" i="21" s="1"/>
  <c r="F64" i="21"/>
  <c r="D58" i="21"/>
  <c r="F58" i="21" s="1"/>
  <c r="D51" i="21"/>
  <c r="F51" i="21" s="1"/>
  <c r="D50" i="21"/>
  <c r="F50" i="21" s="1"/>
  <c r="D49" i="21"/>
  <c r="F49" i="21" s="1"/>
  <c r="D48" i="21"/>
  <c r="F48" i="21" s="1"/>
  <c r="D47" i="21"/>
  <c r="F47" i="21" s="1"/>
  <c r="D46" i="21"/>
  <c r="F46" i="21" s="1"/>
  <c r="D45" i="21"/>
  <c r="F45" i="21" s="1"/>
  <c r="D44" i="21"/>
  <c r="D118" i="21"/>
  <c r="F118" i="21" s="1"/>
  <c r="D114" i="21"/>
  <c r="F114" i="21" s="1"/>
  <c r="D101" i="21"/>
  <c r="F101" i="21" s="1"/>
  <c r="D112" i="21"/>
  <c r="F112" i="21" s="1"/>
  <c r="D93" i="21"/>
  <c r="F93" i="21" s="1"/>
  <c r="F91" i="21"/>
  <c r="D32" i="21"/>
  <c r="D31" i="21"/>
  <c r="D148" i="20"/>
  <c r="D144" i="20"/>
  <c r="F144" i="20" s="1"/>
  <c r="D142" i="20"/>
  <c r="F142" i="20" s="1"/>
  <c r="F135" i="20"/>
  <c r="D52" i="20"/>
  <c r="F52" i="20" s="1"/>
  <c r="D46" i="20"/>
  <c r="F46" i="20" s="1"/>
  <c r="D37" i="20"/>
  <c r="F37" i="20" s="1"/>
  <c r="D23" i="20"/>
  <c r="G22" i="20" s="1"/>
  <c r="D126" i="20"/>
  <c r="F126" i="20" s="1"/>
  <c r="D122" i="20"/>
  <c r="F122" i="20" s="1"/>
  <c r="D115" i="20"/>
  <c r="G115" i="20" s="1"/>
  <c r="D111" i="20"/>
  <c r="F111" i="20" s="1"/>
  <c r="D94" i="20"/>
  <c r="F94" i="20" s="1"/>
  <c r="D103" i="20"/>
  <c r="F103" i="20" s="1"/>
  <c r="D109" i="20"/>
  <c r="F109" i="20" s="1"/>
  <c r="D82" i="20"/>
  <c r="F82" i="20" s="1"/>
  <c r="D77" i="20"/>
  <c r="F77" i="20" s="1"/>
  <c r="D69" i="20"/>
  <c r="F69" i="20" s="1"/>
  <c r="D64" i="20"/>
  <c r="F64" i="20" s="1"/>
  <c r="F55" i="20"/>
  <c r="D123" i="18"/>
  <c r="F123" i="18" s="1"/>
  <c r="D121" i="18"/>
  <c r="F121" i="18" s="1"/>
  <c r="D114" i="18"/>
  <c r="F114" i="18" s="1"/>
  <c r="D47" i="18"/>
  <c r="F47" i="18" s="1"/>
  <c r="D42" i="18"/>
  <c r="F42" i="18" s="1"/>
  <c r="D33" i="18"/>
  <c r="F33" i="18" s="1"/>
  <c r="D32" i="18"/>
  <c r="F32" i="18" s="1"/>
  <c r="D31" i="18"/>
  <c r="F31" i="18" s="1"/>
  <c r="D30" i="18"/>
  <c r="F30" i="18" s="1"/>
  <c r="D29" i="18"/>
  <c r="F29" i="18" s="1"/>
  <c r="D28" i="18"/>
  <c r="F28" i="18" s="1"/>
  <c r="D27" i="18"/>
  <c r="F27" i="18" s="1"/>
  <c r="D26" i="18"/>
  <c r="D105" i="18"/>
  <c r="F105" i="18" s="1"/>
  <c r="D101" i="18"/>
  <c r="F101" i="18" s="1"/>
  <c r="D97" i="18"/>
  <c r="F97" i="18" s="1"/>
  <c r="D82" i="18"/>
  <c r="F82" i="18" s="1"/>
  <c r="D68" i="18"/>
  <c r="F68" i="18" s="1"/>
  <c r="D66" i="18"/>
  <c r="F66" i="18" s="1"/>
  <c r="D88" i="18"/>
  <c r="F88" i="18" s="1"/>
  <c r="D80" i="18"/>
  <c r="F80" i="18" s="1"/>
  <c r="D55" i="18"/>
  <c r="F55" i="18" s="1"/>
  <c r="D50" i="18"/>
  <c r="F50" i="18" s="1"/>
  <c r="D143" i="15"/>
  <c r="F143" i="15" s="1"/>
  <c r="D140" i="15"/>
  <c r="F140" i="15" s="1"/>
  <c r="D59" i="15"/>
  <c r="F59" i="15" s="1"/>
  <c r="D56" i="15"/>
  <c r="F56" i="15" s="1"/>
  <c r="D48" i="15"/>
  <c r="F48" i="15" s="1"/>
  <c r="D46" i="15"/>
  <c r="F46" i="15" s="1"/>
  <c r="D39" i="15"/>
  <c r="F39" i="15" s="1"/>
  <c r="D132" i="15"/>
  <c r="F132" i="15" s="1"/>
  <c r="D128" i="15"/>
  <c r="F128" i="15" s="1"/>
  <c r="D103" i="15"/>
  <c r="F103" i="15" s="1"/>
  <c r="D99" i="15"/>
  <c r="F99" i="15" s="1"/>
  <c r="D109" i="15"/>
  <c r="F109" i="15" s="1"/>
  <c r="D94" i="15"/>
  <c r="F94" i="15" s="1"/>
  <c r="D87" i="15"/>
  <c r="F87" i="15" s="1"/>
  <c r="D81" i="15"/>
  <c r="F81" i="15" s="1"/>
  <c r="D75" i="15"/>
  <c r="F75" i="15" s="1"/>
  <c r="D72" i="15"/>
  <c r="F72" i="15" s="1"/>
  <c r="D62" i="15"/>
  <c r="F62" i="15" s="1"/>
  <c r="D104" i="17"/>
  <c r="F104" i="17" s="1"/>
  <c r="D96" i="17"/>
  <c r="F96" i="17" s="1"/>
  <c r="D86" i="17"/>
  <c r="F86" i="17" s="1"/>
  <c r="D90" i="17"/>
  <c r="F90" i="17" s="1"/>
  <c r="D80" i="17"/>
  <c r="F80" i="17" s="1"/>
  <c r="D67" i="17"/>
  <c r="G67" i="17" s="1"/>
  <c r="F60" i="17"/>
  <c r="D55" i="17"/>
  <c r="F55" i="17" s="1"/>
  <c r="F51" i="17"/>
  <c r="D66" i="17"/>
  <c r="F66" i="17" s="1"/>
  <c r="D44" i="17"/>
  <c r="F44" i="17" s="1"/>
  <c r="D40" i="17"/>
  <c r="F40" i="17" s="1"/>
  <c r="D31" i="17"/>
  <c r="F31" i="17" s="1"/>
  <c r="D26" i="17"/>
  <c r="F26" i="17" s="1"/>
  <c r="D15" i="17"/>
  <c r="F15" i="17" s="1"/>
  <c r="D110" i="14"/>
  <c r="F110" i="14" s="1"/>
  <c r="D41" i="14"/>
  <c r="F41" i="14" s="1"/>
  <c r="D34" i="14"/>
  <c r="F34" i="14" s="1"/>
  <c r="D32" i="14"/>
  <c r="F32" i="14" s="1"/>
  <c r="D26" i="14"/>
  <c r="F26" i="14" s="1"/>
  <c r="D108" i="14"/>
  <c r="F108" i="14" s="1"/>
  <c r="D103" i="14"/>
  <c r="F103" i="14" s="1"/>
  <c r="D95" i="14"/>
  <c r="F95" i="14" s="1"/>
  <c r="D91" i="14"/>
  <c r="F91" i="14" s="1"/>
  <c r="D85" i="14"/>
  <c r="F85" i="14" s="1"/>
  <c r="D71" i="14"/>
  <c r="F71" i="14" s="1"/>
  <c r="F64" i="14"/>
  <c r="D78" i="14"/>
  <c r="F78" i="14" s="1"/>
  <c r="D62" i="14"/>
  <c r="F62" i="14" s="1"/>
  <c r="D56" i="14"/>
  <c r="F56" i="14" s="1"/>
  <c r="D50" i="14"/>
  <c r="F50" i="14" s="1"/>
  <c r="D127" i="11"/>
  <c r="F127" i="11" s="1"/>
  <c r="D48" i="11"/>
  <c r="F48" i="11" s="1"/>
  <c r="D44" i="11"/>
  <c r="F44" i="11" s="1"/>
  <c r="D40" i="11"/>
  <c r="F40" i="11" s="1"/>
  <c r="D33" i="11"/>
  <c r="F33" i="11" s="1"/>
  <c r="D122" i="11"/>
  <c r="F122" i="11" s="1"/>
  <c r="D118" i="11"/>
  <c r="F118" i="11" s="1"/>
  <c r="D114" i="11"/>
  <c r="F114" i="11" s="1"/>
  <c r="D111" i="11"/>
  <c r="F111" i="11" s="1"/>
  <c r="D106" i="11"/>
  <c r="F106" i="11" s="1"/>
  <c r="F98" i="11"/>
  <c r="D84" i="11"/>
  <c r="F84" i="11" s="1"/>
  <c r="D96" i="11"/>
  <c r="F96" i="11" s="1"/>
  <c r="D75" i="11"/>
  <c r="F75" i="11" s="1"/>
  <c r="D70" i="11"/>
  <c r="F70" i="11" s="1"/>
  <c r="D62" i="11"/>
  <c r="F62" i="11" s="1"/>
  <c r="D54" i="11"/>
  <c r="F54" i="11" s="1"/>
  <c r="F13" i="11"/>
  <c r="D27" i="10"/>
  <c r="F27" i="10" s="1"/>
  <c r="D23" i="10"/>
  <c r="F23" i="10" s="1"/>
  <c r="D16" i="10"/>
  <c r="F16" i="10" s="1"/>
  <c r="D99" i="10"/>
  <c r="F99" i="10" s="1"/>
  <c r="D95" i="10"/>
  <c r="F95" i="10" s="1"/>
  <c r="D92" i="10"/>
  <c r="F92" i="10" s="1"/>
  <c r="D87" i="10"/>
  <c r="F87" i="10" s="1"/>
  <c r="F72" i="10"/>
  <c r="D58" i="10"/>
  <c r="F58" i="10" s="1"/>
  <c r="D70" i="10"/>
  <c r="F70" i="10" s="1"/>
  <c r="D54" i="10"/>
  <c r="F54" i="10" s="1"/>
  <c r="D46" i="10"/>
  <c r="F46" i="10" s="1"/>
  <c r="D44" i="10"/>
  <c r="G44" i="10" s="1"/>
  <c r="D38" i="10"/>
  <c r="F38" i="10" s="1"/>
  <c r="D15" i="9"/>
  <c r="F15" i="9" s="1"/>
  <c r="D8" i="9"/>
  <c r="F8" i="9" s="1"/>
  <c r="D81" i="9"/>
  <c r="F81" i="9" s="1"/>
  <c r="D77" i="9"/>
  <c r="F77" i="9" s="1"/>
  <c r="D74" i="9"/>
  <c r="F74" i="9" s="1"/>
  <c r="D69" i="9"/>
  <c r="F69" i="9" s="1"/>
  <c r="D61" i="9"/>
  <c r="F61" i="9" s="1"/>
  <c r="D42" i="9"/>
  <c r="F42" i="9" s="1"/>
  <c r="D53" i="9"/>
  <c r="F53" i="9" s="1"/>
  <c r="D59" i="9"/>
  <c r="F59" i="9" s="1"/>
  <c r="D33" i="9"/>
  <c r="F33" i="9" s="1"/>
  <c r="D27" i="9"/>
  <c r="F27" i="9" s="1"/>
  <c r="D21" i="9"/>
  <c r="F21" i="9" s="1"/>
  <c r="D54" i="12"/>
  <c r="F54" i="12" s="1"/>
  <c r="D48" i="12"/>
  <c r="F48" i="12" s="1"/>
  <c r="D41" i="12"/>
  <c r="F41" i="12" s="1"/>
  <c r="D34" i="12"/>
  <c r="F34" i="12" s="1"/>
  <c r="D32" i="12"/>
  <c r="F32" i="12" s="1"/>
  <c r="D26" i="12"/>
  <c r="F26" i="12" s="1"/>
  <c r="D23" i="31"/>
  <c r="F23" i="31" s="1"/>
  <c r="D47" i="31"/>
  <c r="F47" i="31" s="1"/>
  <c r="D41" i="31"/>
  <c r="F41" i="31" s="1"/>
  <c r="D32" i="31"/>
  <c r="F32" i="31" s="1"/>
  <c r="D38" i="8"/>
  <c r="F38" i="8" s="1"/>
  <c r="D39" i="8"/>
  <c r="F39" i="8" s="1"/>
  <c r="D40" i="8"/>
  <c r="F40" i="8" s="1"/>
  <c r="D41" i="8"/>
  <c r="F41" i="8" s="1"/>
  <c r="D42" i="8"/>
  <c r="F42" i="8" s="1"/>
  <c r="D32" i="8"/>
  <c r="F32" i="8" s="1"/>
  <c r="F33" i="8"/>
  <c r="F34" i="8"/>
  <c r="D57" i="8"/>
  <c r="F57" i="8" s="1"/>
  <c r="D58" i="8"/>
  <c r="F58" i="8" s="1"/>
  <c r="D59" i="8"/>
  <c r="F59" i="8" s="1"/>
  <c r="D60" i="8"/>
  <c r="F60" i="8" s="1"/>
  <c r="D61" i="8"/>
  <c r="F61" i="8" s="1"/>
  <c r="D62" i="8"/>
  <c r="F62" i="8" s="1"/>
  <c r="D21" i="8"/>
  <c r="G20" i="8" s="1"/>
  <c r="D30" i="8"/>
  <c r="F30" i="8" s="1"/>
  <c r="D91" i="8"/>
  <c r="F91" i="8" s="1"/>
  <c r="D89" i="8"/>
  <c r="F89" i="8" s="1"/>
  <c r="D83" i="8"/>
  <c r="F83" i="8" s="1"/>
  <c r="D81" i="8"/>
  <c r="D75" i="8"/>
  <c r="F75" i="8" s="1"/>
  <c r="D69" i="8"/>
  <c r="F69" i="8" s="1"/>
  <c r="F48" i="8"/>
  <c r="D26" i="27"/>
  <c r="F26" i="27" s="1"/>
  <c r="D27" i="27"/>
  <c r="F27" i="27" s="1"/>
  <c r="D28" i="27"/>
  <c r="F28" i="27" s="1"/>
  <c r="D131" i="23"/>
  <c r="F131" i="23" s="1"/>
  <c r="F132" i="23"/>
  <c r="D54" i="21"/>
  <c r="F54" i="21" s="1"/>
  <c r="D55" i="21"/>
  <c r="F55" i="21" s="1"/>
  <c r="D56" i="21"/>
  <c r="F56" i="21" s="1"/>
  <c r="D115" i="21"/>
  <c r="F115" i="21" s="1"/>
  <c r="F116" i="21"/>
  <c r="D100" i="21"/>
  <c r="F100" i="21" s="1"/>
  <c r="D102" i="21"/>
  <c r="F102" i="21" s="1"/>
  <c r="D103" i="21"/>
  <c r="F103" i="21" s="1"/>
  <c r="D104" i="21"/>
  <c r="F104" i="21" s="1"/>
  <c r="D105" i="21"/>
  <c r="F105" i="21" s="1"/>
  <c r="D112" i="20"/>
  <c r="F112" i="20" s="1"/>
  <c r="F113" i="20"/>
  <c r="D91" i="20"/>
  <c r="F91" i="20" s="1"/>
  <c r="D92" i="20"/>
  <c r="F92" i="20" s="1"/>
  <c r="D93" i="20"/>
  <c r="F93" i="20" s="1"/>
  <c r="D95" i="20"/>
  <c r="F95" i="20" s="1"/>
  <c r="D96" i="20"/>
  <c r="F96" i="20" s="1"/>
  <c r="D83" i="18"/>
  <c r="F83" i="18" s="1"/>
  <c r="F84" i="18"/>
  <c r="D69" i="18"/>
  <c r="F69" i="18" s="1"/>
  <c r="D70" i="18"/>
  <c r="F70" i="18" s="1"/>
  <c r="D71" i="18"/>
  <c r="F71" i="18" s="1"/>
  <c r="D72" i="18"/>
  <c r="F72" i="18" s="1"/>
  <c r="D73" i="18"/>
  <c r="F73" i="18" s="1"/>
  <c r="D39" i="18"/>
  <c r="F39" i="18" s="1"/>
  <c r="D40" i="18"/>
  <c r="F40" i="18" s="1"/>
  <c r="D104" i="15"/>
  <c r="F104" i="15" s="1"/>
  <c r="F105" i="15"/>
  <c r="D96" i="15"/>
  <c r="F96" i="15" s="1"/>
  <c r="D97" i="15"/>
  <c r="F97" i="15" s="1"/>
  <c r="D98" i="15"/>
  <c r="F98" i="15" s="1"/>
  <c r="D100" i="15"/>
  <c r="F100" i="15" s="1"/>
  <c r="D101" i="15"/>
  <c r="F101" i="15" s="1"/>
  <c r="D36" i="15"/>
  <c r="F36" i="15" s="1"/>
  <c r="D37" i="15"/>
  <c r="F37" i="15" s="1"/>
  <c r="D91" i="17"/>
  <c r="F91" i="17" s="1"/>
  <c r="D92" i="17"/>
  <c r="F92" i="17" s="1"/>
  <c r="D93" i="17"/>
  <c r="F93" i="17" s="1"/>
  <c r="D94" i="17"/>
  <c r="F94" i="17" s="1"/>
  <c r="D53" i="17"/>
  <c r="F53" i="17" s="1"/>
  <c r="D54" i="17"/>
  <c r="F54" i="17" s="1"/>
  <c r="D56" i="17"/>
  <c r="F56" i="17" s="1"/>
  <c r="D57" i="17"/>
  <c r="F57" i="17" s="1"/>
  <c r="F61" i="17"/>
  <c r="F62" i="17"/>
  <c r="F86" i="14"/>
  <c r="F87" i="14"/>
  <c r="D39" i="14"/>
  <c r="F39" i="14" s="1"/>
  <c r="D40" i="14"/>
  <c r="F40" i="14" s="1"/>
  <c r="D44" i="14"/>
  <c r="F44" i="14" s="1"/>
  <c r="F99" i="11"/>
  <c r="F100" i="11"/>
  <c r="D46" i="11"/>
  <c r="F46" i="11" s="1"/>
  <c r="D47" i="11"/>
  <c r="F47" i="11" s="1"/>
  <c r="D51" i="11"/>
  <c r="F51" i="11" s="1"/>
  <c r="D59" i="10"/>
  <c r="F59" i="10" s="1"/>
  <c r="D60" i="10"/>
  <c r="F60" i="10" s="1"/>
  <c r="D61" i="10"/>
  <c r="F61" i="10" s="1"/>
  <c r="D62" i="10"/>
  <c r="F62" i="10" s="1"/>
  <c r="D63" i="10"/>
  <c r="F63" i="10" s="1"/>
  <c r="F73" i="10"/>
  <c r="F74" i="10"/>
  <c r="D25" i="10"/>
  <c r="F25" i="10" s="1"/>
  <c r="D26" i="10"/>
  <c r="F26" i="10" s="1"/>
  <c r="D30" i="10"/>
  <c r="F30" i="10" s="1"/>
  <c r="D43" i="9"/>
  <c r="F43" i="9" s="1"/>
  <c r="D44" i="9"/>
  <c r="F44" i="9" s="1"/>
  <c r="D45" i="9"/>
  <c r="F45" i="9" s="1"/>
  <c r="D46" i="9"/>
  <c r="F46" i="9" s="1"/>
  <c r="D47" i="9"/>
  <c r="F47" i="9" s="1"/>
  <c r="F62" i="9"/>
  <c r="F63" i="9"/>
  <c r="D42" i="12"/>
  <c r="F42" i="12" s="1"/>
  <c r="D43" i="12"/>
  <c r="F43" i="12" s="1"/>
  <c r="D44" i="12"/>
  <c r="F44" i="12" s="1"/>
  <c r="D45" i="12"/>
  <c r="F45" i="12" s="1"/>
  <c r="D46" i="12"/>
  <c r="F46" i="12" s="1"/>
  <c r="D22" i="12"/>
  <c r="F22" i="12" s="1"/>
  <c r="D23" i="12"/>
  <c r="F23" i="12" s="1"/>
  <c r="D24" i="12"/>
  <c r="F24" i="12" s="1"/>
  <c r="D25" i="12"/>
  <c r="F25" i="12" s="1"/>
  <c r="D56" i="27"/>
  <c r="G48" i="27" s="1"/>
  <c r="D21" i="27"/>
  <c r="F21" i="27" s="1"/>
  <c r="D22" i="27"/>
  <c r="F22" i="27" s="1"/>
  <c r="D35" i="27"/>
  <c r="F35" i="27" s="1"/>
  <c r="D37" i="27"/>
  <c r="F37" i="27" s="1"/>
  <c r="D38" i="27"/>
  <c r="F38" i="27" s="1"/>
  <c r="D39" i="27"/>
  <c r="F39" i="27" s="1"/>
  <c r="D40" i="27"/>
  <c r="F40" i="27" s="1"/>
  <c r="D42" i="27"/>
  <c r="F42" i="27" s="1"/>
  <c r="D43" i="27"/>
  <c r="F43" i="27" s="1"/>
  <c r="D44" i="27"/>
  <c r="F44" i="27" s="1"/>
  <c r="D19" i="27"/>
  <c r="G19" i="27" s="1"/>
  <c r="D13" i="27"/>
  <c r="F13" i="27" s="1"/>
  <c r="D14" i="27"/>
  <c r="F14" i="27" s="1"/>
  <c r="D15" i="27"/>
  <c r="F15" i="27" s="1"/>
  <c r="D17" i="27"/>
  <c r="F17" i="27" s="1"/>
  <c r="D18" i="27"/>
  <c r="F18" i="27" s="1"/>
  <c r="D61" i="18"/>
  <c r="F61" i="18" s="1"/>
  <c r="D62" i="18"/>
  <c r="F62" i="18" s="1"/>
  <c r="D63" i="18"/>
  <c r="F63" i="18" s="1"/>
  <c r="D64" i="18"/>
  <c r="F64" i="18" s="1"/>
  <c r="D65" i="18"/>
  <c r="F65" i="18" s="1"/>
  <c r="D45" i="18"/>
  <c r="F45" i="18" s="1"/>
  <c r="D46" i="18"/>
  <c r="F46" i="18" s="1"/>
  <c r="D43" i="18"/>
  <c r="F43" i="18" s="1"/>
  <c r="D103" i="18"/>
  <c r="F103" i="18" s="1"/>
  <c r="D102" i="18"/>
  <c r="F102" i="18" s="1"/>
  <c r="D98" i="18"/>
  <c r="F98" i="18" s="1"/>
  <c r="D99" i="18"/>
  <c r="F99" i="18" s="1"/>
  <c r="D106" i="18"/>
  <c r="F106" i="18" s="1"/>
  <c r="D107" i="18"/>
  <c r="F107" i="18" s="1"/>
  <c r="D108" i="18"/>
  <c r="F108" i="18" s="1"/>
  <c r="D49" i="18"/>
  <c r="F49" i="18" s="1"/>
  <c r="D51" i="18"/>
  <c r="F51" i="18" s="1"/>
  <c r="D52" i="18"/>
  <c r="F52" i="18" s="1"/>
  <c r="D53" i="18"/>
  <c r="F53" i="18" s="1"/>
  <c r="D56" i="18"/>
  <c r="F56" i="18" s="1"/>
  <c r="D58" i="18"/>
  <c r="F58" i="18" s="1"/>
  <c r="D59" i="18"/>
  <c r="F59" i="18" s="1"/>
  <c r="D89" i="18"/>
  <c r="G89" i="18" s="1"/>
  <c r="D116" i="18"/>
  <c r="F116" i="18" s="1"/>
  <c r="D117" i="18"/>
  <c r="F117" i="18" s="1"/>
  <c r="D118" i="18"/>
  <c r="F118" i="18" s="1"/>
  <c r="D119" i="18"/>
  <c r="F119" i="18" s="1"/>
  <c r="D120" i="18"/>
  <c r="F120" i="18" s="1"/>
  <c r="D127" i="18"/>
  <c r="D54" i="15"/>
  <c r="F54" i="15" s="1"/>
  <c r="D55" i="15"/>
  <c r="F55" i="15" s="1"/>
  <c r="D134" i="15"/>
  <c r="F134" i="15" s="1"/>
  <c r="D133" i="15"/>
  <c r="F133" i="15" s="1"/>
  <c r="D61" i="15"/>
  <c r="F61" i="15" s="1"/>
  <c r="D63" i="15"/>
  <c r="F63" i="15" s="1"/>
  <c r="D64" i="15"/>
  <c r="F64" i="15" s="1"/>
  <c r="D65" i="15"/>
  <c r="F65" i="15" s="1"/>
  <c r="D67" i="15"/>
  <c r="F67" i="15" s="1"/>
  <c r="D68" i="15"/>
  <c r="F68" i="15" s="1"/>
  <c r="D69" i="15"/>
  <c r="F69" i="15" s="1"/>
  <c r="D70" i="15"/>
  <c r="F70" i="15" s="1"/>
  <c r="D71" i="15"/>
  <c r="F71" i="15" s="1"/>
  <c r="D74" i="15"/>
  <c r="F74" i="15" s="1"/>
  <c r="D76" i="15"/>
  <c r="F76" i="15" s="1"/>
  <c r="D77" i="15"/>
  <c r="F77" i="15" s="1"/>
  <c r="D78" i="15"/>
  <c r="F78" i="15" s="1"/>
  <c r="D58" i="15"/>
  <c r="F58" i="15" s="1"/>
  <c r="D40" i="15"/>
  <c r="F40" i="15" s="1"/>
  <c r="D92" i="15"/>
  <c r="F92" i="15" s="1"/>
  <c r="D93" i="15"/>
  <c r="F93" i="15" s="1"/>
  <c r="D49" i="15"/>
  <c r="F49" i="15" s="1"/>
  <c r="D50" i="15"/>
  <c r="F50" i="15" s="1"/>
  <c r="D51" i="15"/>
  <c r="F51" i="15" s="1"/>
  <c r="D52" i="15"/>
  <c r="F52" i="15" s="1"/>
  <c r="D86" i="15"/>
  <c r="F86" i="15" s="1"/>
  <c r="D88" i="15"/>
  <c r="F88" i="15" s="1"/>
  <c r="D89" i="15"/>
  <c r="F89" i="15" s="1"/>
  <c r="D90" i="15"/>
  <c r="F90" i="15" s="1"/>
  <c r="D80" i="15"/>
  <c r="F80" i="15" s="1"/>
  <c r="D83" i="15"/>
  <c r="F83" i="15" s="1"/>
  <c r="D84" i="15"/>
  <c r="F84" i="15" s="1"/>
  <c r="D42" i="15"/>
  <c r="F42" i="15" s="1"/>
  <c r="D43" i="15"/>
  <c r="F43" i="15" s="1"/>
  <c r="D44" i="15"/>
  <c r="F44" i="15" s="1"/>
  <c r="D45" i="15"/>
  <c r="F45" i="15" s="1"/>
  <c r="G150" i="15"/>
  <c r="D136" i="15"/>
  <c r="F136" i="15" s="1"/>
  <c r="D137" i="15"/>
  <c r="F137" i="15" s="1"/>
  <c r="D138" i="15"/>
  <c r="F138" i="15" s="1"/>
  <c r="D139" i="15"/>
  <c r="F139" i="15" s="1"/>
  <c r="D72" i="14"/>
  <c r="F72" i="14" s="1"/>
  <c r="D73" i="14"/>
  <c r="F73" i="14" s="1"/>
  <c r="D74" i="14"/>
  <c r="F74" i="14" s="1"/>
  <c r="D75" i="14"/>
  <c r="F75" i="14" s="1"/>
  <c r="D76" i="14"/>
  <c r="F76" i="14" s="1"/>
  <c r="D28" i="14"/>
  <c r="F28" i="14" s="1"/>
  <c r="D29" i="14"/>
  <c r="F29" i="14" s="1"/>
  <c r="D30" i="14"/>
  <c r="F30" i="14" s="1"/>
  <c r="D31" i="14"/>
  <c r="F31" i="14" s="1"/>
  <c r="D58" i="14"/>
  <c r="F58" i="14" s="1"/>
  <c r="D59" i="14"/>
  <c r="F59" i="14" s="1"/>
  <c r="D61" i="14"/>
  <c r="F61" i="14" s="1"/>
  <c r="D115" i="14"/>
  <c r="D111" i="14"/>
  <c r="F111" i="14" s="1"/>
  <c r="D112" i="14"/>
  <c r="F112" i="14" s="1"/>
  <c r="D113" i="14"/>
  <c r="F113" i="14" s="1"/>
  <c r="D114" i="14"/>
  <c r="F114" i="14" s="1"/>
  <c r="F8" i="14"/>
  <c r="F9" i="14"/>
  <c r="D105" i="14"/>
  <c r="F105" i="14" s="1"/>
  <c r="D106" i="14"/>
  <c r="F106" i="14" s="1"/>
  <c r="D107" i="14"/>
  <c r="F107" i="14" s="1"/>
  <c r="D35" i="14"/>
  <c r="F35" i="14" s="1"/>
  <c r="D36" i="14"/>
  <c r="F36" i="14" s="1"/>
  <c r="D37" i="14"/>
  <c r="F37" i="14" s="1"/>
  <c r="F65" i="14"/>
  <c r="F66" i="14"/>
  <c r="F67" i="14"/>
  <c r="F68" i="14"/>
  <c r="F69" i="14"/>
  <c r="D52" i="14"/>
  <c r="F52" i="14" s="1"/>
  <c r="D53" i="14"/>
  <c r="F53" i="14" s="1"/>
  <c r="D54" i="14"/>
  <c r="F54" i="14" s="1"/>
  <c r="D55" i="14"/>
  <c r="F55" i="14" s="1"/>
  <c r="D46" i="14"/>
  <c r="F46" i="14" s="1"/>
  <c r="D47" i="14"/>
  <c r="F47" i="14" s="1"/>
  <c r="D48" i="14"/>
  <c r="F48" i="14" s="1"/>
  <c r="D49" i="14"/>
  <c r="F49" i="14" s="1"/>
  <c r="D22" i="14"/>
  <c r="F22" i="14" s="1"/>
  <c r="D23" i="14"/>
  <c r="F23" i="14" s="1"/>
  <c r="D24" i="14"/>
  <c r="F24" i="14" s="1"/>
  <c r="D25" i="14"/>
  <c r="F25" i="14" s="1"/>
  <c r="D101" i="14"/>
  <c r="F101" i="14" s="1"/>
  <c r="D102" i="14"/>
  <c r="F102" i="14" s="1"/>
  <c r="D96" i="14"/>
  <c r="F96" i="14" s="1"/>
  <c r="D97" i="14"/>
  <c r="F97" i="14" s="1"/>
  <c r="D98" i="14"/>
  <c r="F98" i="14" s="1"/>
  <c r="D99" i="14"/>
  <c r="F99" i="14" s="1"/>
  <c r="D19" i="11"/>
  <c r="F19" i="11" s="1"/>
  <c r="D34" i="11"/>
  <c r="F34" i="11" s="1"/>
  <c r="D35" i="11"/>
  <c r="F35" i="11" s="1"/>
  <c r="D36" i="11"/>
  <c r="F36" i="11" s="1"/>
  <c r="D85" i="11"/>
  <c r="F85" i="11" s="1"/>
  <c r="D86" i="11"/>
  <c r="F86" i="11" s="1"/>
  <c r="D87" i="11"/>
  <c r="F87" i="11" s="1"/>
  <c r="D88" i="11"/>
  <c r="F88" i="11" s="1"/>
  <c r="D89" i="11"/>
  <c r="F89" i="11" s="1"/>
  <c r="F14" i="11"/>
  <c r="D132" i="11"/>
  <c r="D128" i="11"/>
  <c r="F128" i="11" s="1"/>
  <c r="D129" i="11"/>
  <c r="F129" i="11" s="1"/>
  <c r="D130" i="11"/>
  <c r="F130" i="11" s="1"/>
  <c r="D131" i="11"/>
  <c r="F131" i="11" s="1"/>
  <c r="D42" i="11"/>
  <c r="F42" i="11" s="1"/>
  <c r="D43" i="11"/>
  <c r="F43" i="11" s="1"/>
  <c r="D119" i="11"/>
  <c r="F119" i="11" s="1"/>
  <c r="D120" i="11"/>
  <c r="F120" i="11" s="1"/>
  <c r="D59" i="11"/>
  <c r="F59" i="11" s="1"/>
  <c r="D60" i="11"/>
  <c r="F60" i="11" s="1"/>
  <c r="D61" i="11"/>
  <c r="F61" i="11" s="1"/>
  <c r="D63" i="11"/>
  <c r="F63" i="11" s="1"/>
  <c r="D64" i="11"/>
  <c r="F64" i="11" s="1"/>
  <c r="D53" i="11"/>
  <c r="F53" i="11" s="1"/>
  <c r="D55" i="11"/>
  <c r="F55" i="11" s="1"/>
  <c r="D56" i="11"/>
  <c r="F56" i="11" s="1"/>
  <c r="D57" i="11"/>
  <c r="F57" i="11" s="1"/>
  <c r="D66" i="11"/>
  <c r="F66" i="11" s="1"/>
  <c r="D67" i="11"/>
  <c r="F67" i="11" s="1"/>
  <c r="D68" i="11"/>
  <c r="F68" i="11" s="1"/>
  <c r="D69" i="11"/>
  <c r="F69" i="11" s="1"/>
  <c r="D72" i="11"/>
  <c r="F72" i="11" s="1"/>
  <c r="D73" i="11"/>
  <c r="F73" i="11" s="1"/>
  <c r="D74" i="11"/>
  <c r="F74" i="11" s="1"/>
  <c r="D123" i="11"/>
  <c r="F123" i="11" s="1"/>
  <c r="D124" i="11"/>
  <c r="F124" i="11" s="1"/>
  <c r="D125" i="11"/>
  <c r="F125" i="11" s="1"/>
  <c r="F77" i="11"/>
  <c r="F78" i="11"/>
  <c r="F79" i="11"/>
  <c r="F80" i="11"/>
  <c r="F81" i="11"/>
  <c r="F82" i="11"/>
  <c r="D38" i="11"/>
  <c r="F38" i="11" s="1"/>
  <c r="D39" i="11"/>
  <c r="F39" i="11" s="1"/>
  <c r="D115" i="11"/>
  <c r="F115" i="11" s="1"/>
  <c r="D116" i="11"/>
  <c r="F116" i="11" s="1"/>
  <c r="D108" i="11"/>
  <c r="F108" i="11" s="1"/>
  <c r="D109" i="11"/>
  <c r="F109" i="11" s="1"/>
  <c r="D110" i="11"/>
  <c r="F110" i="11" s="1"/>
  <c r="D112" i="11"/>
  <c r="F112" i="11" s="1"/>
  <c r="F32" i="10"/>
  <c r="F33" i="10"/>
  <c r="F34" i="10"/>
  <c r="F35" i="10"/>
  <c r="F36" i="10"/>
  <c r="D75" i="10"/>
  <c r="G75" i="10" s="1"/>
  <c r="D47" i="10"/>
  <c r="F47" i="10" s="1"/>
  <c r="D49" i="10"/>
  <c r="F49" i="10" s="1"/>
  <c r="D50" i="10"/>
  <c r="F50" i="10" s="1"/>
  <c r="D52" i="10"/>
  <c r="F52" i="10" s="1"/>
  <c r="D53" i="10"/>
  <c r="F53" i="10" s="1"/>
  <c r="D55" i="10"/>
  <c r="F55" i="10" s="1"/>
  <c r="D56" i="10"/>
  <c r="F56" i="10" s="1"/>
  <c r="D39" i="10"/>
  <c r="F39" i="10" s="1"/>
  <c r="D40" i="10"/>
  <c r="F40" i="10" s="1"/>
  <c r="D41" i="10"/>
  <c r="F41" i="10" s="1"/>
  <c r="D42" i="10"/>
  <c r="F42" i="10" s="1"/>
  <c r="D43" i="10"/>
  <c r="F43" i="10" s="1"/>
  <c r="D96" i="10"/>
  <c r="F96" i="10" s="1"/>
  <c r="D97" i="10"/>
  <c r="F97" i="10" s="1"/>
  <c r="D100" i="10"/>
  <c r="F100" i="10" s="1"/>
  <c r="D101" i="10"/>
  <c r="F101" i="10" s="1"/>
  <c r="D102" i="10"/>
  <c r="F102" i="10" s="1"/>
  <c r="D17" i="10"/>
  <c r="F17" i="10" s="1"/>
  <c r="D18" i="10"/>
  <c r="F18" i="10" s="1"/>
  <c r="D19" i="10"/>
  <c r="F19" i="10" s="1"/>
  <c r="D21" i="10"/>
  <c r="F21" i="10" s="1"/>
  <c r="D22" i="10"/>
  <c r="F22" i="10" s="1"/>
  <c r="D89" i="10"/>
  <c r="F89" i="10" s="1"/>
  <c r="D90" i="10"/>
  <c r="F90" i="10" s="1"/>
  <c r="D91" i="10"/>
  <c r="F91" i="10" s="1"/>
  <c r="D93" i="10"/>
  <c r="F93" i="10" s="1"/>
  <c r="D82" i="9"/>
  <c r="F82" i="9" s="1"/>
  <c r="D83" i="9"/>
  <c r="F83" i="9" s="1"/>
  <c r="D84" i="9"/>
  <c r="F84" i="9" s="1"/>
  <c r="D17" i="9"/>
  <c r="F17" i="9" s="1"/>
  <c r="D18" i="9"/>
  <c r="F18" i="9" s="1"/>
  <c r="D19" i="9"/>
  <c r="F19" i="9" s="1"/>
  <c r="D20" i="9"/>
  <c r="F20" i="9" s="1"/>
  <c r="D23" i="9"/>
  <c r="F23" i="9" s="1"/>
  <c r="D24" i="9"/>
  <c r="F24" i="9" s="1"/>
  <c r="D26" i="9"/>
  <c r="F26" i="9" s="1"/>
  <c r="D29" i="9"/>
  <c r="F29" i="9" s="1"/>
  <c r="D30" i="9"/>
  <c r="F30" i="9" s="1"/>
  <c r="D31" i="9"/>
  <c r="F31" i="9" s="1"/>
  <c r="D32" i="9"/>
  <c r="F32" i="9" s="1"/>
  <c r="D78" i="9"/>
  <c r="F78" i="9" s="1"/>
  <c r="D79" i="9"/>
  <c r="F79" i="9" s="1"/>
  <c r="D9" i="9"/>
  <c r="F9" i="9" s="1"/>
  <c r="D10" i="9"/>
  <c r="F10" i="9" s="1"/>
  <c r="D11" i="9"/>
  <c r="F11" i="9" s="1"/>
  <c r="D13" i="9"/>
  <c r="F13" i="9" s="1"/>
  <c r="D14" i="9"/>
  <c r="F14" i="9" s="1"/>
  <c r="D71" i="9"/>
  <c r="F71" i="9" s="1"/>
  <c r="D72" i="9"/>
  <c r="F72" i="9" s="1"/>
  <c r="D73" i="9"/>
  <c r="F73" i="9" s="1"/>
  <c r="D75" i="9"/>
  <c r="F75" i="9" s="1"/>
  <c r="D16" i="12"/>
  <c r="F16" i="12" s="1"/>
  <c r="D17" i="12"/>
  <c r="F17" i="12" s="1"/>
  <c r="D18" i="12"/>
  <c r="F18" i="12" s="1"/>
  <c r="D19" i="12"/>
  <c r="F19" i="12" s="1"/>
  <c r="D20" i="12"/>
  <c r="F20" i="12" s="1"/>
  <c r="D28" i="12"/>
  <c r="F28" i="12" s="1"/>
  <c r="D29" i="12"/>
  <c r="F29" i="12" s="1"/>
  <c r="D30" i="12"/>
  <c r="F30" i="12" s="1"/>
  <c r="D31" i="12"/>
  <c r="F31" i="12" s="1"/>
  <c r="F35" i="12"/>
  <c r="F36" i="12"/>
  <c r="F37" i="12"/>
  <c r="F38" i="12"/>
  <c r="F39" i="12"/>
  <c r="D55" i="12"/>
  <c r="F55" i="12" s="1"/>
  <c r="D56" i="12"/>
  <c r="F56" i="12" s="1"/>
  <c r="D49" i="12"/>
  <c r="F49" i="12" s="1"/>
  <c r="D50" i="12"/>
  <c r="F50" i="12" s="1"/>
  <c r="D51" i="12"/>
  <c r="F51" i="12" s="1"/>
  <c r="D52" i="12"/>
  <c r="F52" i="12" s="1"/>
  <c r="D48" i="31"/>
  <c r="F48" i="31" s="1"/>
  <c r="D49" i="31"/>
  <c r="F49" i="31" s="1"/>
  <c r="D21" i="31"/>
  <c r="F21" i="31" s="1"/>
  <c r="D22" i="31"/>
  <c r="F22" i="31" s="1"/>
  <c r="D26" i="31"/>
  <c r="F26" i="31" s="1"/>
  <c r="D28" i="31"/>
  <c r="F28" i="31" s="1"/>
  <c r="D29" i="31"/>
  <c r="F29" i="31" s="1"/>
  <c r="D30" i="31"/>
  <c r="F30" i="31" s="1"/>
  <c r="D31" i="31"/>
  <c r="F31" i="31" s="1"/>
  <c r="D42" i="31"/>
  <c r="F42" i="31" s="1"/>
  <c r="D43" i="31"/>
  <c r="F43" i="31" s="1"/>
  <c r="D44" i="31"/>
  <c r="F44" i="31" s="1"/>
  <c r="D45" i="31"/>
  <c r="F45" i="31" s="1"/>
  <c r="D80" i="8"/>
  <c r="F80" i="8" s="1"/>
  <c r="D84" i="8"/>
  <c r="F84" i="8" s="1"/>
  <c r="D85" i="8"/>
  <c r="F85" i="8" s="1"/>
  <c r="D92" i="8"/>
  <c r="F92" i="8" s="1"/>
  <c r="D93" i="8"/>
  <c r="F93" i="8" s="1"/>
  <c r="D94" i="8"/>
  <c r="F94" i="8" s="1"/>
  <c r="D28" i="8"/>
  <c r="F28" i="8" s="1"/>
  <c r="D29" i="8"/>
  <c r="F29" i="8" s="1"/>
  <c r="D50" i="8"/>
  <c r="F50" i="8" s="1"/>
  <c r="D51" i="8"/>
  <c r="F51" i="8" s="1"/>
  <c r="F52" i="8"/>
  <c r="F53" i="8"/>
  <c r="F54" i="8"/>
  <c r="F55" i="8"/>
  <c r="D64" i="8"/>
  <c r="F64" i="8" s="1"/>
  <c r="D65" i="8"/>
  <c r="F65" i="8" s="1"/>
  <c r="D66" i="8"/>
  <c r="F66" i="8" s="1"/>
  <c r="D67" i="8"/>
  <c r="F67" i="8" s="1"/>
  <c r="D68" i="8"/>
  <c r="F68" i="8" s="1"/>
  <c r="D87" i="8"/>
  <c r="F87" i="8" s="1"/>
  <c r="D88" i="8"/>
  <c r="F88" i="8" s="1"/>
  <c r="D44" i="8"/>
  <c r="F44" i="8" s="1"/>
  <c r="F45" i="8"/>
  <c r="F47" i="8"/>
  <c r="G137" i="23"/>
  <c r="D119" i="21"/>
  <c r="F119" i="21" s="1"/>
  <c r="D120" i="21"/>
  <c r="F120" i="21" s="1"/>
  <c r="D78" i="21"/>
  <c r="F78" i="21" s="1"/>
  <c r="D81" i="21"/>
  <c r="F81" i="21" s="1"/>
  <c r="D82" i="21"/>
  <c r="F82" i="21" s="1"/>
  <c r="D72" i="21"/>
  <c r="F72" i="21" s="1"/>
  <c r="D73" i="21"/>
  <c r="F73" i="21" s="1"/>
  <c r="D75" i="21"/>
  <c r="F75" i="21" s="1"/>
  <c r="D76" i="21"/>
  <c r="F76" i="21" s="1"/>
  <c r="D48" i="23"/>
  <c r="F48" i="23" s="1"/>
  <c r="D83" i="23"/>
  <c r="F83" i="23" s="1"/>
  <c r="D78" i="23"/>
  <c r="F78" i="23" s="1"/>
  <c r="D80" i="23"/>
  <c r="F80" i="23" s="1"/>
  <c r="D81" i="23"/>
  <c r="F81" i="23" s="1"/>
  <c r="D72" i="23"/>
  <c r="F72" i="23" s="1"/>
  <c r="D73" i="23"/>
  <c r="F73" i="23" s="1"/>
  <c r="D75" i="23"/>
  <c r="F75" i="23" s="1"/>
  <c r="D76" i="23"/>
  <c r="F76" i="23" s="1"/>
  <c r="F131" i="20"/>
  <c r="F132" i="20"/>
  <c r="F133" i="20"/>
  <c r="F134" i="20"/>
  <c r="D137" i="20"/>
  <c r="F137" i="20" s="1"/>
  <c r="D138" i="20"/>
  <c r="F138" i="20" s="1"/>
  <c r="D139" i="20"/>
  <c r="F139" i="20" s="1"/>
  <c r="D140" i="20"/>
  <c r="F140" i="20" s="1"/>
  <c r="D141" i="20"/>
  <c r="F141" i="20" s="1"/>
  <c r="D145" i="20"/>
  <c r="F145" i="20" s="1"/>
  <c r="D146" i="20"/>
  <c r="F146" i="20" s="1"/>
  <c r="D147" i="20"/>
  <c r="F147" i="20" s="1"/>
  <c r="D34" i="17"/>
  <c r="G34" i="17" s="1"/>
  <c r="D33" i="17"/>
  <c r="G33" i="17" s="1"/>
  <c r="D81" i="17"/>
  <c r="F81" i="17" s="1"/>
  <c r="D82" i="17"/>
  <c r="F82" i="17" s="1"/>
  <c r="D97" i="17"/>
  <c r="F97" i="17" s="1"/>
  <c r="D98" i="17"/>
  <c r="F98" i="17" s="1"/>
  <c r="D77" i="8"/>
  <c r="F77" i="8" s="1"/>
  <c r="D78" i="8"/>
  <c r="F78" i="8" s="1"/>
  <c r="D79" i="8"/>
  <c r="F79" i="8" s="1"/>
  <c r="D97" i="23"/>
  <c r="F97" i="23" s="1"/>
  <c r="D99" i="23"/>
  <c r="F99" i="23" s="1"/>
  <c r="D100" i="23"/>
  <c r="F100" i="23" s="1"/>
  <c r="D101" i="23"/>
  <c r="F101" i="23" s="1"/>
  <c r="D102" i="23"/>
  <c r="F102" i="23" s="1"/>
  <c r="D46" i="23"/>
  <c r="F46" i="23" s="1"/>
  <c r="F57" i="23"/>
  <c r="F59" i="23"/>
  <c r="D61" i="23"/>
  <c r="F61" i="23" s="1"/>
  <c r="D62" i="23"/>
  <c r="F62" i="23" s="1"/>
  <c r="D66" i="23"/>
  <c r="F66" i="23" s="1"/>
  <c r="D67" i="23"/>
  <c r="F67" i="23" s="1"/>
  <c r="D70" i="23"/>
  <c r="F70" i="23" s="1"/>
  <c r="D135" i="23"/>
  <c r="F135" i="23" s="1"/>
  <c r="D136" i="23"/>
  <c r="F136" i="23" s="1"/>
  <c r="D51" i="23"/>
  <c r="F51" i="23" s="1"/>
  <c r="D52" i="23"/>
  <c r="F52" i="23" s="1"/>
  <c r="D54" i="23"/>
  <c r="F54" i="23" s="1"/>
  <c r="D55" i="23"/>
  <c r="F55" i="23" s="1"/>
  <c r="D158" i="23"/>
  <c r="D154" i="23"/>
  <c r="F154" i="23" s="1"/>
  <c r="D155" i="23"/>
  <c r="F155" i="23" s="1"/>
  <c r="D156" i="23"/>
  <c r="F156" i="23" s="1"/>
  <c r="D157" i="23"/>
  <c r="F157" i="23" s="1"/>
  <c r="D104" i="23"/>
  <c r="F104" i="23" s="1"/>
  <c r="D105" i="23"/>
  <c r="F105" i="23" s="1"/>
  <c r="D108" i="23"/>
  <c r="F108" i="23" s="1"/>
  <c r="D111" i="23"/>
  <c r="F111" i="23" s="1"/>
  <c r="D112" i="23"/>
  <c r="F112" i="23" s="1"/>
  <c r="D113" i="23"/>
  <c r="F113" i="23" s="1"/>
  <c r="D114" i="23"/>
  <c r="F114" i="23" s="1"/>
  <c r="D149" i="23"/>
  <c r="F149" i="23" s="1"/>
  <c r="D122" i="21"/>
  <c r="F122" i="21" s="1"/>
  <c r="D123" i="21"/>
  <c r="F123" i="21" s="1"/>
  <c r="D124" i="21"/>
  <c r="F124" i="21" s="1"/>
  <c r="D125" i="21"/>
  <c r="F125" i="21" s="1"/>
  <c r="D87" i="23"/>
  <c r="F87" i="23" s="1"/>
  <c r="D88" i="23"/>
  <c r="F88" i="23" s="1"/>
  <c r="D89" i="23"/>
  <c r="F89" i="23" s="1"/>
  <c r="D90" i="23"/>
  <c r="F90" i="23" s="1"/>
  <c r="D160" i="23"/>
  <c r="F160" i="23" s="1"/>
  <c r="D161" i="23"/>
  <c r="F161" i="23" s="1"/>
  <c r="D162" i="23"/>
  <c r="F162" i="23" s="1"/>
  <c r="D163" i="23"/>
  <c r="F163" i="23" s="1"/>
  <c r="D164" i="23"/>
  <c r="F164" i="23" s="1"/>
  <c r="D168" i="23"/>
  <c r="F168" i="23" s="1"/>
  <c r="D169" i="23"/>
  <c r="F169" i="23" s="1"/>
  <c r="D170" i="23"/>
  <c r="F170" i="23" s="1"/>
  <c r="D171" i="23"/>
  <c r="D93" i="23"/>
  <c r="F93" i="23" s="1"/>
  <c r="D94" i="23"/>
  <c r="F94" i="23" s="1"/>
  <c r="D95" i="23"/>
  <c r="F95" i="23" s="1"/>
  <c r="D68" i="21"/>
  <c r="F68" i="21" s="1"/>
  <c r="D69" i="21"/>
  <c r="F69" i="21" s="1"/>
  <c r="D87" i="21"/>
  <c r="F87" i="21" s="1"/>
  <c r="D88" i="21"/>
  <c r="F88" i="21" s="1"/>
  <c r="F89" i="21"/>
  <c r="F90" i="21"/>
  <c r="D61" i="21"/>
  <c r="F61" i="21" s="1"/>
  <c r="D85" i="21"/>
  <c r="G83" i="21" s="1"/>
  <c r="F65" i="21"/>
  <c r="F66" i="21"/>
  <c r="D59" i="21"/>
  <c r="F59" i="21" s="1"/>
  <c r="D132" i="21"/>
  <c r="F132" i="21" s="1"/>
  <c r="D133" i="21"/>
  <c r="F133" i="21" s="1"/>
  <c r="D134" i="21"/>
  <c r="F134" i="21" s="1"/>
  <c r="D135" i="21"/>
  <c r="F135" i="21" s="1"/>
  <c r="D136" i="21"/>
  <c r="F136" i="21" s="1"/>
  <c r="D140" i="21"/>
  <c r="F140" i="21" s="1"/>
  <c r="D141" i="21"/>
  <c r="F141" i="21" s="1"/>
  <c r="D142" i="21"/>
  <c r="F142" i="21" s="1"/>
  <c r="D143" i="21"/>
  <c r="D21" i="17"/>
  <c r="F21" i="17" s="1"/>
  <c r="D22" i="17"/>
  <c r="F22" i="17" s="1"/>
  <c r="D23" i="17"/>
  <c r="F23" i="17" s="1"/>
  <c r="D24" i="17"/>
  <c r="F24" i="17" s="1"/>
  <c r="D25" i="17"/>
  <c r="F25" i="17" s="1"/>
  <c r="F16" i="17"/>
  <c r="F17" i="17"/>
  <c r="F18" i="17"/>
  <c r="F19" i="17"/>
  <c r="D36" i="17"/>
  <c r="F36" i="17" s="1"/>
  <c r="D37" i="17"/>
  <c r="F37" i="17" s="1"/>
  <c r="D38" i="17"/>
  <c r="F38" i="17" s="1"/>
  <c r="D39" i="17"/>
  <c r="F39" i="17" s="1"/>
  <c r="D46" i="17"/>
  <c r="F46" i="17" s="1"/>
  <c r="D47" i="17"/>
  <c r="F47" i="17" s="1"/>
  <c r="F48" i="17"/>
  <c r="F49" i="17"/>
  <c r="F50" i="17"/>
  <c r="D42" i="17"/>
  <c r="F42" i="17" s="1"/>
  <c r="D43" i="17"/>
  <c r="F43" i="17" s="1"/>
  <c r="D28" i="17"/>
  <c r="F28" i="17" s="1"/>
  <c r="D29" i="17"/>
  <c r="F29" i="17" s="1"/>
  <c r="D30" i="17"/>
  <c r="F30" i="17" s="1"/>
  <c r="D32" i="17"/>
  <c r="F32" i="17" s="1"/>
  <c r="G113" i="17"/>
  <c r="D100" i="17"/>
  <c r="F100" i="17" s="1"/>
  <c r="D101" i="17"/>
  <c r="F101" i="17" s="1"/>
  <c r="D102" i="17"/>
  <c r="F102" i="17" s="1"/>
  <c r="D103" i="17"/>
  <c r="F103" i="17" s="1"/>
  <c r="C28" i="27"/>
  <c r="A24" i="27"/>
  <c r="C27" i="27"/>
  <c r="C26" i="27"/>
  <c r="C25" i="27"/>
  <c r="C24" i="27"/>
  <c r="A175" i="23"/>
  <c r="A15" i="23"/>
  <c r="D20" i="23"/>
  <c r="D19" i="15"/>
  <c r="G18" i="15" s="1"/>
  <c r="A18" i="15"/>
  <c r="C19" i="15"/>
  <c r="C18" i="15"/>
  <c r="C20" i="23"/>
  <c r="C17" i="23"/>
  <c r="C16" i="23"/>
  <c r="C15" i="23"/>
  <c r="A151" i="23"/>
  <c r="C151" i="23"/>
  <c r="A56" i="23"/>
  <c r="C56" i="23"/>
  <c r="C46" i="23"/>
  <c r="C45" i="23"/>
  <c r="A44" i="23"/>
  <c r="C44" i="23"/>
  <c r="D35" i="21"/>
  <c r="A30" i="21"/>
  <c r="C35" i="21"/>
  <c r="C30" i="21"/>
  <c r="C40" i="18"/>
  <c r="C39" i="18"/>
  <c r="C38" i="18"/>
  <c r="C35" i="18"/>
  <c r="C34" i="18"/>
  <c r="A34" i="18"/>
  <c r="C102" i="23"/>
  <c r="C101" i="23"/>
  <c r="C100" i="23"/>
  <c r="C99" i="23"/>
  <c r="C98" i="23"/>
  <c r="C97" i="23"/>
  <c r="C96" i="23"/>
  <c r="A96" i="23"/>
  <c r="C19" i="27"/>
  <c r="A19" i="27"/>
  <c r="A77" i="21"/>
  <c r="C82" i="21"/>
  <c r="C81" i="21"/>
  <c r="C79" i="21"/>
  <c r="C78" i="21"/>
  <c r="C77" i="21"/>
  <c r="C37" i="15"/>
  <c r="C36" i="15"/>
  <c r="C35" i="15"/>
  <c r="C32" i="15"/>
  <c r="C31" i="15"/>
  <c r="A31" i="15"/>
  <c r="A108" i="10"/>
  <c r="A95" i="9"/>
  <c r="D55" i="27"/>
  <c r="D54" i="27"/>
  <c r="D53" i="27"/>
  <c r="D52" i="27"/>
  <c r="D51" i="27"/>
  <c r="D50" i="27"/>
  <c r="D49" i="27"/>
  <c r="C56" i="27"/>
  <c r="C55" i="27"/>
  <c r="C54" i="27"/>
  <c r="C53" i="27"/>
  <c r="C52" i="27"/>
  <c r="C51" i="27"/>
  <c r="C50" i="27"/>
  <c r="C49" i="27"/>
  <c r="C48" i="27"/>
  <c r="A28" i="23"/>
  <c r="C36" i="23"/>
  <c r="C35" i="23"/>
  <c r="C34" i="23"/>
  <c r="C33" i="23"/>
  <c r="C32" i="23"/>
  <c r="C31" i="23"/>
  <c r="C30" i="23"/>
  <c r="C29" i="23"/>
  <c r="C28" i="23"/>
  <c r="D121" i="23"/>
  <c r="D120" i="23"/>
  <c r="D119" i="23"/>
  <c r="D118" i="23"/>
  <c r="D116" i="23"/>
  <c r="A23" i="21"/>
  <c r="A83" i="21"/>
  <c r="D84" i="21"/>
  <c r="C85" i="21"/>
  <c r="C84" i="21"/>
  <c r="C83" i="21"/>
  <c r="C76" i="21"/>
  <c r="C75" i="21"/>
  <c r="C74" i="21"/>
  <c r="C73" i="21"/>
  <c r="C72" i="21"/>
  <c r="C71" i="21"/>
  <c r="C105" i="21"/>
  <c r="C104" i="21"/>
  <c r="C103" i="21"/>
  <c r="C102" i="21"/>
  <c r="C101" i="21"/>
  <c r="C100" i="21"/>
  <c r="C99" i="21"/>
  <c r="D45" i="20"/>
  <c r="F45" i="20" s="1"/>
  <c r="D44" i="20"/>
  <c r="F44" i="20" s="1"/>
  <c r="D43" i="20"/>
  <c r="F43" i="20" s="1"/>
  <c r="C46" i="20"/>
  <c r="C45" i="20"/>
  <c r="C44" i="20"/>
  <c r="C43" i="20"/>
  <c r="C42" i="20"/>
  <c r="A42" i="20"/>
  <c r="A113" i="17"/>
  <c r="C18" i="27"/>
  <c r="C17" i="27"/>
  <c r="C16" i="27"/>
  <c r="C15" i="27"/>
  <c r="C14" i="27"/>
  <c r="C13" i="27"/>
  <c r="A12" i="27"/>
  <c r="C11" i="27"/>
  <c r="C10" i="27"/>
  <c r="A11" i="27"/>
  <c r="A10" i="27"/>
  <c r="A48" i="27"/>
  <c r="C22" i="23"/>
  <c r="C21" i="23"/>
  <c r="A21" i="23"/>
  <c r="A77" i="23"/>
  <c r="C81" i="23"/>
  <c r="C80" i="23"/>
  <c r="C79" i="23"/>
  <c r="C78" i="23"/>
  <c r="C77" i="23"/>
  <c r="C76" i="23"/>
  <c r="C75" i="23"/>
  <c r="C74" i="23"/>
  <c r="C73" i="23"/>
  <c r="C72" i="23"/>
  <c r="C71" i="23"/>
  <c r="A71" i="23"/>
  <c r="C121" i="23"/>
  <c r="C120" i="23"/>
  <c r="C119" i="23"/>
  <c r="C118" i="23"/>
  <c r="C117" i="23"/>
  <c r="C116" i="23"/>
  <c r="C115" i="23"/>
  <c r="A115" i="23"/>
  <c r="C23" i="21"/>
  <c r="A99" i="21"/>
  <c r="A71" i="21"/>
  <c r="C143" i="21"/>
  <c r="A143" i="21"/>
  <c r="A130" i="18"/>
  <c r="C90" i="18"/>
  <c r="A90" i="18"/>
  <c r="C99" i="18"/>
  <c r="C98" i="18"/>
  <c r="C97" i="18"/>
  <c r="C96" i="18"/>
  <c r="A96" i="18"/>
  <c r="C52" i="15"/>
  <c r="C51" i="15"/>
  <c r="C50" i="15"/>
  <c r="C49" i="15"/>
  <c r="C48" i="15"/>
  <c r="C47" i="15"/>
  <c r="A47" i="15"/>
  <c r="A150" i="15"/>
  <c r="C33" i="17"/>
  <c r="A33" i="17"/>
  <c r="C32" i="14"/>
  <c r="C31" i="14"/>
  <c r="C30" i="14"/>
  <c r="C29" i="14"/>
  <c r="C28" i="14"/>
  <c r="C27" i="14"/>
  <c r="A27" i="14"/>
  <c r="C50" i="14"/>
  <c r="C49" i="14"/>
  <c r="C48" i="14"/>
  <c r="C47" i="14"/>
  <c r="C46" i="14"/>
  <c r="C45" i="14"/>
  <c r="A45" i="14"/>
  <c r="C76" i="10"/>
  <c r="A76" i="10"/>
  <c r="C8" i="12"/>
  <c r="A8" i="12"/>
  <c r="C21" i="8"/>
  <c r="C20" i="8"/>
  <c r="A20" i="8"/>
  <c r="C62" i="8"/>
  <c r="C61" i="8"/>
  <c r="C60" i="8"/>
  <c r="C59" i="8"/>
  <c r="C58" i="8"/>
  <c r="C57" i="8"/>
  <c r="C56" i="8"/>
  <c r="A56" i="8"/>
  <c r="C69" i="8"/>
  <c r="C68" i="8"/>
  <c r="C67" i="8"/>
  <c r="C66" i="8"/>
  <c r="C65" i="8"/>
  <c r="C64" i="8"/>
  <c r="C63" i="8"/>
  <c r="A63" i="8"/>
  <c r="D142" i="15"/>
  <c r="F142" i="15" s="1"/>
  <c r="D35" i="9"/>
  <c r="F35" i="9" s="1"/>
  <c r="F36" i="9"/>
  <c r="F37" i="9"/>
  <c r="F38" i="9"/>
  <c r="F39" i="9"/>
  <c r="F40" i="9"/>
  <c r="A31" i="10"/>
  <c r="A37" i="10"/>
  <c r="A82" i="8"/>
  <c r="A20" i="27"/>
  <c r="C20" i="27"/>
  <c r="C21" i="27"/>
  <c r="C22" i="27"/>
  <c r="C23" i="27"/>
  <c r="A29" i="27"/>
  <c r="C29" i="27"/>
  <c r="C30" i="27"/>
  <c r="C31" i="27"/>
  <c r="C32" i="27"/>
  <c r="C33" i="27"/>
  <c r="A34" i="27"/>
  <c r="C34" i="27"/>
  <c r="C35" i="27"/>
  <c r="C36" i="27"/>
  <c r="C37" i="27"/>
  <c r="C38" i="27"/>
  <c r="C39" i="27"/>
  <c r="C40" i="27"/>
  <c r="A41" i="27"/>
  <c r="C41" i="27"/>
  <c r="C42" i="27"/>
  <c r="C43" i="27"/>
  <c r="C44" i="27"/>
  <c r="C45" i="27"/>
  <c r="A46" i="27"/>
  <c r="C46" i="27"/>
  <c r="A47" i="27"/>
  <c r="C47" i="27"/>
  <c r="A103" i="23"/>
  <c r="C103" i="23"/>
  <c r="C104" i="23"/>
  <c r="C105" i="23"/>
  <c r="C107" i="23"/>
  <c r="C108" i="23"/>
  <c r="A109" i="23"/>
  <c r="C109" i="23"/>
  <c r="C110" i="23"/>
  <c r="C111" i="23"/>
  <c r="C112" i="23"/>
  <c r="C113" i="23"/>
  <c r="C114" i="23"/>
  <c r="A122" i="23"/>
  <c r="C122" i="23"/>
  <c r="C123" i="23"/>
  <c r="D123" i="23"/>
  <c r="F123" i="23" s="1"/>
  <c r="C124" i="23"/>
  <c r="D124" i="23"/>
  <c r="F124" i="23" s="1"/>
  <c r="C125" i="23"/>
  <c r="D125" i="23"/>
  <c r="F125" i="23" s="1"/>
  <c r="C126" i="23"/>
  <c r="D126" i="23"/>
  <c r="F126" i="23" s="1"/>
  <c r="C128" i="23"/>
  <c r="A129" i="23"/>
  <c r="C129" i="23"/>
  <c r="C130" i="23"/>
  <c r="C131" i="23"/>
  <c r="A133" i="23"/>
  <c r="C133" i="23"/>
  <c r="C134" i="23"/>
  <c r="C135" i="23"/>
  <c r="C136" i="23"/>
  <c r="A137" i="23"/>
  <c r="C137" i="23"/>
  <c r="A138" i="23"/>
  <c r="C138" i="23"/>
  <c r="C139" i="23"/>
  <c r="D141" i="23"/>
  <c r="F141" i="23" s="1"/>
  <c r="D140" i="23"/>
  <c r="F140" i="23" s="1"/>
  <c r="C140" i="23"/>
  <c r="C141" i="23"/>
  <c r="A47" i="23"/>
  <c r="C47" i="23"/>
  <c r="C48" i="23"/>
  <c r="C49" i="23"/>
  <c r="A50" i="23"/>
  <c r="C50" i="23"/>
  <c r="C51" i="23"/>
  <c r="C52" i="23"/>
  <c r="C53" i="23"/>
  <c r="C54" i="23"/>
  <c r="C55" i="23"/>
  <c r="A60" i="23"/>
  <c r="C60" i="23"/>
  <c r="C61" i="23"/>
  <c r="C62" i="23"/>
  <c r="C63" i="23"/>
  <c r="A64" i="23"/>
  <c r="C64" i="23"/>
  <c r="C65" i="23"/>
  <c r="C66" i="23"/>
  <c r="C67" i="23"/>
  <c r="C70" i="23"/>
  <c r="A82" i="23"/>
  <c r="C82" i="23"/>
  <c r="C83" i="23"/>
  <c r="C84" i="23"/>
  <c r="A85" i="23"/>
  <c r="C85" i="23"/>
  <c r="C86" i="23"/>
  <c r="C87" i="23"/>
  <c r="C88" i="23"/>
  <c r="C89" i="23"/>
  <c r="C90" i="23"/>
  <c r="A91" i="23"/>
  <c r="C91" i="23"/>
  <c r="C92" i="23"/>
  <c r="C93" i="23"/>
  <c r="C94" i="23"/>
  <c r="C95" i="23"/>
  <c r="A142" i="23"/>
  <c r="C142" i="23"/>
  <c r="C143" i="23"/>
  <c r="D143" i="23"/>
  <c r="F143" i="23" s="1"/>
  <c r="C144" i="23"/>
  <c r="D144" i="23"/>
  <c r="F144" i="23" s="1"/>
  <c r="C145" i="23"/>
  <c r="D145" i="23"/>
  <c r="F145" i="23" s="1"/>
  <c r="C146" i="23"/>
  <c r="D146" i="23"/>
  <c r="F146" i="23" s="1"/>
  <c r="C147" i="23"/>
  <c r="A148" i="23"/>
  <c r="C148" i="23"/>
  <c r="C149" i="23"/>
  <c r="C150" i="23"/>
  <c r="A152" i="23"/>
  <c r="C152" i="23"/>
  <c r="C153" i="23"/>
  <c r="C154" i="23"/>
  <c r="C155" i="23"/>
  <c r="C156" i="23"/>
  <c r="C157" i="23"/>
  <c r="C158" i="23"/>
  <c r="A159" i="23"/>
  <c r="C159" i="23"/>
  <c r="C160" i="23"/>
  <c r="C161" i="23"/>
  <c r="C162" i="23"/>
  <c r="C163" i="23"/>
  <c r="C164" i="23"/>
  <c r="C165" i="23"/>
  <c r="A166" i="23"/>
  <c r="C166" i="23"/>
  <c r="C167" i="23"/>
  <c r="C168" i="23"/>
  <c r="C169" i="23"/>
  <c r="C170" i="23"/>
  <c r="A171" i="23"/>
  <c r="C171" i="23"/>
  <c r="A174" i="23"/>
  <c r="C174" i="23"/>
  <c r="A176" i="23"/>
  <c r="C176" i="23"/>
  <c r="A86" i="21"/>
  <c r="C86" i="21"/>
  <c r="C87" i="21"/>
  <c r="C88" i="21"/>
  <c r="A92" i="21"/>
  <c r="C92" i="21"/>
  <c r="C93" i="21"/>
  <c r="C94" i="21"/>
  <c r="D94" i="21"/>
  <c r="F94" i="21" s="1"/>
  <c r="C95" i="21"/>
  <c r="D95" i="21"/>
  <c r="F95" i="21" s="1"/>
  <c r="C96" i="21"/>
  <c r="D96" i="21"/>
  <c r="F96" i="21" s="1"/>
  <c r="C97" i="21"/>
  <c r="D97" i="21"/>
  <c r="F97" i="21" s="1"/>
  <c r="C98" i="21"/>
  <c r="D98" i="21"/>
  <c r="F98" i="21" s="1"/>
  <c r="A106" i="21"/>
  <c r="C106" i="21"/>
  <c r="C107" i="21"/>
  <c r="D107" i="21"/>
  <c r="F107" i="21" s="1"/>
  <c r="C108" i="21"/>
  <c r="D108" i="21"/>
  <c r="F108" i="21" s="1"/>
  <c r="C109" i="21"/>
  <c r="D109" i="21"/>
  <c r="F109" i="21" s="1"/>
  <c r="C110" i="21"/>
  <c r="D110" i="21"/>
  <c r="F110" i="21" s="1"/>
  <c r="C112" i="21"/>
  <c r="A113" i="21"/>
  <c r="C113" i="21"/>
  <c r="C114" i="21"/>
  <c r="C115" i="21"/>
  <c r="A117" i="21"/>
  <c r="C117" i="21"/>
  <c r="C118" i="21"/>
  <c r="C119" i="21"/>
  <c r="C120" i="21"/>
  <c r="A43" i="21"/>
  <c r="C43" i="21"/>
  <c r="C44" i="21"/>
  <c r="C45" i="21"/>
  <c r="C46" i="21"/>
  <c r="C47" i="21"/>
  <c r="C48" i="21"/>
  <c r="C49" i="21"/>
  <c r="C50" i="21"/>
  <c r="C51" i="21"/>
  <c r="A63" i="21"/>
  <c r="C63" i="21"/>
  <c r="A57" i="21"/>
  <c r="C57" i="21"/>
  <c r="C58" i="21"/>
  <c r="C59" i="21"/>
  <c r="A60" i="21"/>
  <c r="C60" i="21"/>
  <c r="C61" i="21"/>
  <c r="C62" i="21"/>
  <c r="A52" i="21"/>
  <c r="C52" i="21"/>
  <c r="C53" i="21"/>
  <c r="C54" i="21"/>
  <c r="C55" i="21"/>
  <c r="C56" i="21"/>
  <c r="A67" i="21"/>
  <c r="C67" i="21"/>
  <c r="C68" i="21"/>
  <c r="C69" i="21"/>
  <c r="C70" i="21"/>
  <c r="A121" i="21"/>
  <c r="C121" i="21"/>
  <c r="C122" i="21"/>
  <c r="C123" i="21"/>
  <c r="C124" i="21"/>
  <c r="C125" i="21"/>
  <c r="C126" i="21"/>
  <c r="A127" i="21"/>
  <c r="C127" i="21"/>
  <c r="C128" i="21"/>
  <c r="D128" i="21"/>
  <c r="F128" i="21" s="1"/>
  <c r="C129" i="21"/>
  <c r="A130" i="21"/>
  <c r="C130" i="21"/>
  <c r="A131" i="21"/>
  <c r="C131" i="21"/>
  <c r="C132" i="21"/>
  <c r="C133" i="21"/>
  <c r="C134" i="21"/>
  <c r="C135" i="21"/>
  <c r="C136" i="21"/>
  <c r="C137" i="21"/>
  <c r="A138" i="21"/>
  <c r="C138" i="21"/>
  <c r="C139" i="21"/>
  <c r="C140" i="21"/>
  <c r="C141" i="21"/>
  <c r="C142" i="21"/>
  <c r="A15" i="20"/>
  <c r="C15" i="20"/>
  <c r="F17" i="20"/>
  <c r="A53" i="20"/>
  <c r="C53" i="20"/>
  <c r="C54" i="20"/>
  <c r="F54" i="20"/>
  <c r="F56" i="20"/>
  <c r="F57" i="20"/>
  <c r="F58" i="20"/>
  <c r="A59" i="20"/>
  <c r="C59" i="20"/>
  <c r="C60" i="20"/>
  <c r="D60" i="20"/>
  <c r="F60" i="20" s="1"/>
  <c r="C61" i="20"/>
  <c r="D61" i="20"/>
  <c r="F61" i="20" s="1"/>
  <c r="C63" i="20"/>
  <c r="D63" i="20"/>
  <c r="F63" i="20" s="1"/>
  <c r="C64" i="20"/>
  <c r="C65" i="20"/>
  <c r="D65" i="20"/>
  <c r="F65" i="20" s="1"/>
  <c r="A66" i="20"/>
  <c r="C66" i="20"/>
  <c r="D66" i="20"/>
  <c r="A67" i="20"/>
  <c r="C67" i="20"/>
  <c r="C68" i="20"/>
  <c r="D68" i="20"/>
  <c r="F68" i="20" s="1"/>
  <c r="C69" i="20"/>
  <c r="C70" i="20"/>
  <c r="D70" i="20"/>
  <c r="F70" i="20" s="1"/>
  <c r="C71" i="20"/>
  <c r="D71" i="20"/>
  <c r="F71" i="20" s="1"/>
  <c r="C72" i="20"/>
  <c r="D72" i="20"/>
  <c r="F72" i="20" s="1"/>
  <c r="A73" i="20"/>
  <c r="C73" i="20"/>
  <c r="C74" i="20"/>
  <c r="D74" i="20"/>
  <c r="F74" i="20" s="1"/>
  <c r="C75" i="20"/>
  <c r="D75" i="20"/>
  <c r="F75" i="20" s="1"/>
  <c r="C77" i="20"/>
  <c r="C78" i="20"/>
  <c r="D78" i="20"/>
  <c r="F78" i="20" s="1"/>
  <c r="A79" i="20"/>
  <c r="C79" i="20"/>
  <c r="C80" i="20"/>
  <c r="D80" i="20"/>
  <c r="F80" i="20" s="1"/>
  <c r="C81" i="20"/>
  <c r="D81" i="20"/>
  <c r="F81" i="20" s="1"/>
  <c r="C82" i="20"/>
  <c r="A104" i="20"/>
  <c r="C104" i="20"/>
  <c r="C105" i="20"/>
  <c r="D105" i="20"/>
  <c r="F105" i="20" s="1"/>
  <c r="C106" i="20"/>
  <c r="D106" i="20"/>
  <c r="F106" i="20" s="1"/>
  <c r="C107" i="20"/>
  <c r="D107" i="20"/>
  <c r="F107" i="20" s="1"/>
  <c r="C108" i="20"/>
  <c r="D108" i="20"/>
  <c r="F108" i="20" s="1"/>
  <c r="C109" i="20"/>
  <c r="A97" i="20"/>
  <c r="C97" i="20"/>
  <c r="C98" i="20"/>
  <c r="D98" i="20"/>
  <c r="F98" i="20" s="1"/>
  <c r="C99" i="20"/>
  <c r="D99" i="20"/>
  <c r="F99" i="20" s="1"/>
  <c r="C100" i="20"/>
  <c r="D100" i="20"/>
  <c r="F100" i="20" s="1"/>
  <c r="C101" i="20"/>
  <c r="D101" i="20"/>
  <c r="F101" i="20" s="1"/>
  <c r="C103" i="20"/>
  <c r="A83" i="20"/>
  <c r="C83" i="20"/>
  <c r="C84" i="20"/>
  <c r="D84" i="20"/>
  <c r="F84" i="20" s="1"/>
  <c r="C85" i="20"/>
  <c r="D85" i="20"/>
  <c r="F85" i="20" s="1"/>
  <c r="F86" i="20"/>
  <c r="F87" i="20"/>
  <c r="F88" i="20"/>
  <c r="F89" i="20"/>
  <c r="A90" i="20"/>
  <c r="C90" i="20"/>
  <c r="C91" i="20"/>
  <c r="C92" i="20"/>
  <c r="C93" i="20"/>
  <c r="C94" i="20"/>
  <c r="C95" i="20"/>
  <c r="C96" i="20"/>
  <c r="A110" i="20"/>
  <c r="C110" i="20"/>
  <c r="C111" i="20"/>
  <c r="C112" i="20"/>
  <c r="A115" i="20"/>
  <c r="C115" i="20"/>
  <c r="A121" i="20"/>
  <c r="C121" i="20"/>
  <c r="C122" i="20"/>
  <c r="C123" i="20"/>
  <c r="D123" i="20"/>
  <c r="F123" i="20" s="1"/>
  <c r="C124" i="20"/>
  <c r="D124" i="20"/>
  <c r="F124" i="20" s="1"/>
  <c r="A125" i="20"/>
  <c r="C125" i="20"/>
  <c r="C126" i="20"/>
  <c r="C127" i="20"/>
  <c r="D127" i="20"/>
  <c r="F127" i="20" s="1"/>
  <c r="C128" i="20"/>
  <c r="D128" i="20"/>
  <c r="F128" i="20" s="1"/>
  <c r="C129" i="20"/>
  <c r="D129" i="20"/>
  <c r="F129" i="20" s="1"/>
  <c r="A22" i="20"/>
  <c r="C22" i="20"/>
  <c r="C23" i="20"/>
  <c r="A29" i="20"/>
  <c r="C29" i="20"/>
  <c r="C30" i="20"/>
  <c r="D30" i="20"/>
  <c r="F30" i="20" s="1"/>
  <c r="C31" i="20"/>
  <c r="D31" i="20"/>
  <c r="F31" i="20" s="1"/>
  <c r="C32" i="20"/>
  <c r="D32" i="20"/>
  <c r="F32" i="20" s="1"/>
  <c r="D33" i="20"/>
  <c r="F33" i="20" s="1"/>
  <c r="D34" i="20"/>
  <c r="F34" i="20" s="1"/>
  <c r="D35" i="20"/>
  <c r="F35" i="20" s="1"/>
  <c r="D36" i="20"/>
  <c r="F36" i="20" s="1"/>
  <c r="C33" i="20"/>
  <c r="C34" i="20"/>
  <c r="C35" i="20"/>
  <c r="C36" i="20"/>
  <c r="C37" i="20"/>
  <c r="A38" i="20"/>
  <c r="C38" i="20"/>
  <c r="A47" i="20"/>
  <c r="C47" i="20"/>
  <c r="C48" i="20"/>
  <c r="D48" i="20"/>
  <c r="F48" i="20" s="1"/>
  <c r="C49" i="20"/>
  <c r="D49" i="20"/>
  <c r="F49" i="20" s="1"/>
  <c r="C50" i="20"/>
  <c r="D50" i="20"/>
  <c r="F50" i="20" s="1"/>
  <c r="C51" i="20"/>
  <c r="D51" i="20"/>
  <c r="F51" i="20" s="1"/>
  <c r="C52" i="20"/>
  <c r="A130" i="20"/>
  <c r="C130" i="20"/>
  <c r="C131" i="20"/>
  <c r="C132" i="20"/>
  <c r="C133" i="20"/>
  <c r="C134" i="20"/>
  <c r="C135" i="20"/>
  <c r="A136" i="20"/>
  <c r="C136" i="20"/>
  <c r="C137" i="20"/>
  <c r="C138" i="20"/>
  <c r="C139" i="20"/>
  <c r="C140" i="20"/>
  <c r="C141" i="20"/>
  <c r="C142" i="20"/>
  <c r="A143" i="20"/>
  <c r="C143" i="20"/>
  <c r="C144" i="20"/>
  <c r="C145" i="20"/>
  <c r="C146" i="20"/>
  <c r="C147" i="20"/>
  <c r="A148" i="20"/>
  <c r="C148" i="20"/>
  <c r="A48" i="18"/>
  <c r="C48" i="18"/>
  <c r="C49" i="18"/>
  <c r="C50" i="18"/>
  <c r="C51" i="18"/>
  <c r="C52" i="18"/>
  <c r="C53" i="18"/>
  <c r="A54" i="18"/>
  <c r="C54" i="18"/>
  <c r="C55" i="18"/>
  <c r="C56" i="18"/>
  <c r="C58" i="18"/>
  <c r="C59" i="18"/>
  <c r="A74" i="18"/>
  <c r="C74" i="18"/>
  <c r="C75" i="18"/>
  <c r="D75" i="18"/>
  <c r="F75" i="18" s="1"/>
  <c r="C76" i="18"/>
  <c r="D76" i="18"/>
  <c r="F76" i="18" s="1"/>
  <c r="C77" i="18"/>
  <c r="D77" i="18"/>
  <c r="F77" i="18" s="1"/>
  <c r="C78" i="18"/>
  <c r="D78" i="18"/>
  <c r="F78" i="18" s="1"/>
  <c r="C80" i="18"/>
  <c r="A85" i="18"/>
  <c r="C85" i="18"/>
  <c r="C86" i="18"/>
  <c r="D86" i="18"/>
  <c r="F86" i="18" s="1"/>
  <c r="C87" i="18"/>
  <c r="D87" i="18"/>
  <c r="F87" i="18" s="1"/>
  <c r="C88" i="18"/>
  <c r="A60" i="18"/>
  <c r="C60" i="18"/>
  <c r="C61" i="18"/>
  <c r="C62" i="18"/>
  <c r="C63" i="18"/>
  <c r="C64" i="18"/>
  <c r="C65" i="18"/>
  <c r="C66" i="18"/>
  <c r="A67" i="18"/>
  <c r="C67" i="18"/>
  <c r="C68" i="18"/>
  <c r="C69" i="18"/>
  <c r="C70" i="18"/>
  <c r="C71" i="18"/>
  <c r="C72" i="18"/>
  <c r="C73" i="18"/>
  <c r="A81" i="18"/>
  <c r="C81" i="18"/>
  <c r="C82" i="18"/>
  <c r="C83" i="18"/>
  <c r="A89" i="18"/>
  <c r="C89" i="18"/>
  <c r="A100" i="18"/>
  <c r="C100" i="18"/>
  <c r="C101" i="18"/>
  <c r="C102" i="18"/>
  <c r="C103" i="18"/>
  <c r="A104" i="18"/>
  <c r="C104" i="18"/>
  <c r="C105" i="18"/>
  <c r="C106" i="18"/>
  <c r="C107" i="18"/>
  <c r="C108" i="18"/>
  <c r="A25" i="18"/>
  <c r="C25" i="18"/>
  <c r="C26" i="18"/>
  <c r="C27" i="18"/>
  <c r="C28" i="18"/>
  <c r="C29" i="18"/>
  <c r="C30" i="18"/>
  <c r="C31" i="18"/>
  <c r="C32" i="18"/>
  <c r="C33" i="18"/>
  <c r="A41" i="18"/>
  <c r="C41" i="18"/>
  <c r="C42" i="18"/>
  <c r="C43" i="18"/>
  <c r="A44" i="18"/>
  <c r="C44" i="18"/>
  <c r="C45" i="18"/>
  <c r="C46" i="18"/>
  <c r="C47" i="18"/>
  <c r="A109" i="18"/>
  <c r="C109" i="18"/>
  <c r="C110" i="18"/>
  <c r="D110" i="18"/>
  <c r="F110" i="18" s="1"/>
  <c r="C111" i="18"/>
  <c r="D111" i="18"/>
  <c r="F111" i="18" s="1"/>
  <c r="C112" i="18"/>
  <c r="D112" i="18"/>
  <c r="F112" i="18" s="1"/>
  <c r="C113" i="18"/>
  <c r="F113" i="18"/>
  <c r="C114" i="18"/>
  <c r="A115" i="18"/>
  <c r="C115" i="18"/>
  <c r="C116" i="18"/>
  <c r="C117" i="18"/>
  <c r="C118" i="18"/>
  <c r="C119" i="18"/>
  <c r="C120" i="18"/>
  <c r="C121" i="18"/>
  <c r="A122" i="18"/>
  <c r="C122" i="18"/>
  <c r="C123" i="18"/>
  <c r="C124" i="18"/>
  <c r="D124" i="18"/>
  <c r="F124" i="18" s="1"/>
  <c r="C125" i="18"/>
  <c r="F125" i="18"/>
  <c r="C126" i="18"/>
  <c r="D126" i="18"/>
  <c r="F126" i="18" s="1"/>
  <c r="A127" i="18"/>
  <c r="C127" i="18"/>
  <c r="A11" i="15"/>
  <c r="C11" i="15"/>
  <c r="A60" i="15"/>
  <c r="C60" i="15"/>
  <c r="C61" i="15"/>
  <c r="C62" i="15"/>
  <c r="C63" i="15"/>
  <c r="C64" i="15"/>
  <c r="C65" i="15"/>
  <c r="A66" i="15"/>
  <c r="C66" i="15"/>
  <c r="C67" i="15"/>
  <c r="C68" i="15"/>
  <c r="C69" i="15"/>
  <c r="C70" i="15"/>
  <c r="C71" i="15"/>
  <c r="C72" i="15"/>
  <c r="A73" i="15"/>
  <c r="C73" i="15"/>
  <c r="C74" i="15"/>
  <c r="C75" i="15"/>
  <c r="C76" i="15"/>
  <c r="C77" i="15"/>
  <c r="C78" i="15"/>
  <c r="A79" i="15"/>
  <c r="C79" i="15"/>
  <c r="C80" i="15"/>
  <c r="C81" i="15"/>
  <c r="C83" i="15"/>
  <c r="C84" i="15"/>
  <c r="A85" i="15"/>
  <c r="C85" i="15"/>
  <c r="C86" i="15"/>
  <c r="C87" i="15"/>
  <c r="C88" i="15"/>
  <c r="C89" i="15"/>
  <c r="C90" i="15"/>
  <c r="A91" i="15"/>
  <c r="C91" i="15"/>
  <c r="C92" i="15"/>
  <c r="C93" i="15"/>
  <c r="C94" i="15"/>
  <c r="A106" i="15"/>
  <c r="C106" i="15"/>
  <c r="C107" i="15"/>
  <c r="D107" i="15"/>
  <c r="F107" i="15" s="1"/>
  <c r="C108" i="15"/>
  <c r="D108" i="15"/>
  <c r="F108" i="15" s="1"/>
  <c r="C109" i="15"/>
  <c r="A95" i="15"/>
  <c r="C95" i="15"/>
  <c r="C96" i="15"/>
  <c r="C97" i="15"/>
  <c r="C98" i="15"/>
  <c r="C99" i="15"/>
  <c r="C100" i="15"/>
  <c r="C101" i="15"/>
  <c r="A102" i="15"/>
  <c r="C102" i="15"/>
  <c r="C103" i="15"/>
  <c r="C104" i="15"/>
  <c r="C105" i="15"/>
  <c r="A125" i="15"/>
  <c r="C125" i="15"/>
  <c r="D126" i="15"/>
  <c r="F126" i="15" s="1"/>
  <c r="D127" i="15"/>
  <c r="F127" i="15" s="1"/>
  <c r="D129" i="15"/>
  <c r="F129" i="15" s="1"/>
  <c r="D130" i="15"/>
  <c r="F130" i="15" s="1"/>
  <c r="A131" i="15"/>
  <c r="C131" i="15"/>
  <c r="C132" i="15"/>
  <c r="C133" i="15"/>
  <c r="C134" i="15"/>
  <c r="A38" i="15"/>
  <c r="C38" i="15"/>
  <c r="C39" i="15"/>
  <c r="C40" i="15"/>
  <c r="A41" i="15"/>
  <c r="C41" i="15"/>
  <c r="C42" i="15"/>
  <c r="C43" i="15"/>
  <c r="C44" i="15"/>
  <c r="C45" i="15"/>
  <c r="C46" i="15"/>
  <c r="A53" i="15"/>
  <c r="C53" i="15"/>
  <c r="C54" i="15"/>
  <c r="C55" i="15"/>
  <c r="C56" i="15"/>
  <c r="A57" i="15"/>
  <c r="C57" i="15"/>
  <c r="C58" i="15"/>
  <c r="C59" i="15"/>
  <c r="A135" i="15"/>
  <c r="C135" i="15"/>
  <c r="C136" i="15"/>
  <c r="C137" i="15"/>
  <c r="C138" i="15"/>
  <c r="C139" i="15"/>
  <c r="C140" i="15"/>
  <c r="A141" i="15"/>
  <c r="C141" i="15"/>
  <c r="C142" i="15"/>
  <c r="C143" i="15"/>
  <c r="A149" i="15"/>
  <c r="C149" i="15"/>
  <c r="A151" i="15"/>
  <c r="C151" i="15"/>
  <c r="A152" i="15"/>
  <c r="C152" i="15"/>
  <c r="A14" i="17"/>
  <c r="C14" i="17"/>
  <c r="C15" i="17"/>
  <c r="A20" i="17"/>
  <c r="C20" i="17"/>
  <c r="C21" i="17"/>
  <c r="C22" i="17"/>
  <c r="C23" i="17"/>
  <c r="C24" i="17"/>
  <c r="C25" i="17"/>
  <c r="C26" i="17"/>
  <c r="A27" i="17"/>
  <c r="C27" i="17"/>
  <c r="C28" i="17"/>
  <c r="C29" i="17"/>
  <c r="C30" i="17"/>
  <c r="C31" i="17"/>
  <c r="C32" i="17"/>
  <c r="A34" i="17"/>
  <c r="C34" i="17"/>
  <c r="A35" i="17"/>
  <c r="C35" i="17"/>
  <c r="C36" i="17"/>
  <c r="C37" i="17"/>
  <c r="C38" i="17"/>
  <c r="C39" i="17"/>
  <c r="C40" i="17"/>
  <c r="A41" i="17"/>
  <c r="C41" i="17"/>
  <c r="C42" i="17"/>
  <c r="C43" i="17"/>
  <c r="C44" i="17"/>
  <c r="A63" i="17"/>
  <c r="C63" i="17"/>
  <c r="C64" i="17"/>
  <c r="D64" i="17"/>
  <c r="F64" i="17" s="1"/>
  <c r="C65" i="17"/>
  <c r="D65" i="17"/>
  <c r="F65" i="17" s="1"/>
  <c r="C66" i="17"/>
  <c r="A45" i="17"/>
  <c r="C45" i="17"/>
  <c r="C46" i="17"/>
  <c r="C47" i="17"/>
  <c r="A52" i="17"/>
  <c r="C52" i="17"/>
  <c r="C53" i="17"/>
  <c r="C54" i="17"/>
  <c r="C55" i="17"/>
  <c r="C56" i="17"/>
  <c r="C57" i="17"/>
  <c r="C58" i="17"/>
  <c r="D58" i="17"/>
  <c r="A59" i="17"/>
  <c r="C59" i="17"/>
  <c r="C60" i="17"/>
  <c r="A67" i="17"/>
  <c r="C67" i="17"/>
  <c r="A79" i="17"/>
  <c r="C79" i="17"/>
  <c r="C80" i="17"/>
  <c r="C81" i="17"/>
  <c r="C82" i="17"/>
  <c r="A83" i="17"/>
  <c r="C83" i="17"/>
  <c r="D84" i="17"/>
  <c r="F84" i="17" s="1"/>
  <c r="D85" i="17"/>
  <c r="F85" i="17" s="1"/>
  <c r="D87" i="17"/>
  <c r="F87" i="17" s="1"/>
  <c r="D88" i="17"/>
  <c r="F88" i="17" s="1"/>
  <c r="A89" i="17"/>
  <c r="C89" i="17"/>
  <c r="C90" i="17"/>
  <c r="C91" i="17"/>
  <c r="C92" i="17"/>
  <c r="C93" i="17"/>
  <c r="C94" i="17"/>
  <c r="A95" i="17"/>
  <c r="C95" i="17"/>
  <c r="C96" i="17"/>
  <c r="C97" i="17"/>
  <c r="C98" i="17"/>
  <c r="A99" i="17"/>
  <c r="C99" i="17"/>
  <c r="C100" i="17"/>
  <c r="C101" i="17"/>
  <c r="C102" i="17"/>
  <c r="C103" i="17"/>
  <c r="C104" i="17"/>
  <c r="A112" i="17"/>
  <c r="C112" i="17"/>
  <c r="A7" i="14"/>
  <c r="C7" i="14"/>
  <c r="A8" i="14"/>
  <c r="A9" i="14"/>
  <c r="A51" i="14"/>
  <c r="C51" i="14"/>
  <c r="C52" i="14"/>
  <c r="C53" i="14"/>
  <c r="C54" i="14"/>
  <c r="C55" i="14"/>
  <c r="C56" i="14"/>
  <c r="A57" i="14"/>
  <c r="C57" i="14"/>
  <c r="C58" i="14"/>
  <c r="C59" i="14"/>
  <c r="C61" i="14"/>
  <c r="C62" i="14"/>
  <c r="A77" i="14"/>
  <c r="C77" i="14"/>
  <c r="C78" i="14"/>
  <c r="C79" i="14"/>
  <c r="D79" i="14"/>
  <c r="F79" i="14" s="1"/>
  <c r="C80" i="14"/>
  <c r="D80" i="14"/>
  <c r="F80" i="14" s="1"/>
  <c r="C81" i="14"/>
  <c r="D81" i="14"/>
  <c r="F81" i="14" s="1"/>
  <c r="C83" i="14"/>
  <c r="D83" i="14"/>
  <c r="F83" i="14" s="1"/>
  <c r="A63" i="14"/>
  <c r="C63" i="14"/>
  <c r="A70" i="14"/>
  <c r="C70" i="14"/>
  <c r="C71" i="14"/>
  <c r="C72" i="14"/>
  <c r="C73" i="14"/>
  <c r="C74" i="14"/>
  <c r="C75" i="14"/>
  <c r="C76" i="14"/>
  <c r="A84" i="14"/>
  <c r="C84" i="14"/>
  <c r="C85" i="14"/>
  <c r="A88" i="14"/>
  <c r="C88" i="14"/>
  <c r="D89" i="14"/>
  <c r="F89" i="14" s="1"/>
  <c r="D90" i="14"/>
  <c r="F90" i="14" s="1"/>
  <c r="D92" i="14"/>
  <c r="F92" i="14" s="1"/>
  <c r="D93" i="14"/>
  <c r="F93" i="14" s="1"/>
  <c r="A94" i="14"/>
  <c r="C94" i="14"/>
  <c r="C95" i="14"/>
  <c r="C96" i="14"/>
  <c r="C97" i="14"/>
  <c r="C98" i="14"/>
  <c r="C99" i="14"/>
  <c r="A100" i="14"/>
  <c r="C100" i="14"/>
  <c r="C101" i="14"/>
  <c r="C102" i="14"/>
  <c r="C103" i="14"/>
  <c r="A104" i="14"/>
  <c r="C104" i="14"/>
  <c r="C105" i="14"/>
  <c r="C106" i="14"/>
  <c r="C107" i="14"/>
  <c r="C108" i="14"/>
  <c r="A21" i="14"/>
  <c r="C21" i="14"/>
  <c r="C22" i="14"/>
  <c r="C23" i="14"/>
  <c r="C24" i="14"/>
  <c r="C25" i="14"/>
  <c r="C26" i="14"/>
  <c r="A33" i="14"/>
  <c r="C33" i="14"/>
  <c r="C34" i="14"/>
  <c r="C35" i="14"/>
  <c r="C36" i="14"/>
  <c r="C37" i="14"/>
  <c r="A38" i="14"/>
  <c r="C38" i="14"/>
  <c r="C39" i="14"/>
  <c r="C40" i="14"/>
  <c r="C41" i="14"/>
  <c r="C44" i="14"/>
  <c r="A109" i="14"/>
  <c r="C109" i="14"/>
  <c r="C110" i="14"/>
  <c r="C111" i="14"/>
  <c r="C112" i="14"/>
  <c r="C113" i="14"/>
  <c r="C114" i="14"/>
  <c r="C115" i="14"/>
  <c r="A11" i="11"/>
  <c r="C11" i="11"/>
  <c r="A52" i="11"/>
  <c r="C52" i="11"/>
  <c r="A58" i="11"/>
  <c r="C58" i="11"/>
  <c r="C59" i="11"/>
  <c r="C60" i="11"/>
  <c r="C61" i="11"/>
  <c r="C62" i="11"/>
  <c r="C63" i="11"/>
  <c r="C64" i="11"/>
  <c r="A65" i="11"/>
  <c r="C65" i="11"/>
  <c r="C66" i="11"/>
  <c r="C67" i="11"/>
  <c r="C68" i="11"/>
  <c r="C69" i="11"/>
  <c r="C70" i="11"/>
  <c r="A71" i="11"/>
  <c r="C71" i="11"/>
  <c r="C72" i="11"/>
  <c r="C73" i="11"/>
  <c r="C74" i="11"/>
  <c r="C75" i="11"/>
  <c r="A90" i="11"/>
  <c r="C90" i="11"/>
  <c r="C91" i="11"/>
  <c r="D91" i="11"/>
  <c r="F91" i="11" s="1"/>
  <c r="C92" i="11"/>
  <c r="D92" i="11"/>
  <c r="F92" i="11" s="1"/>
  <c r="C93" i="11"/>
  <c r="D93" i="11"/>
  <c r="F93" i="11" s="1"/>
  <c r="C94" i="11"/>
  <c r="D94" i="11"/>
  <c r="F94" i="11" s="1"/>
  <c r="C96" i="11"/>
  <c r="A76" i="11"/>
  <c r="C76" i="11"/>
  <c r="A83" i="11"/>
  <c r="C83" i="11"/>
  <c r="C84" i="11"/>
  <c r="C85" i="11"/>
  <c r="C86" i="11"/>
  <c r="C87" i="11"/>
  <c r="C88" i="11"/>
  <c r="C89" i="11"/>
  <c r="A97" i="11"/>
  <c r="C97" i="11"/>
  <c r="C98" i="11"/>
  <c r="A101" i="11"/>
  <c r="C101" i="11"/>
  <c r="D102" i="11"/>
  <c r="F102" i="11" s="1"/>
  <c r="D103" i="11"/>
  <c r="F103" i="11" s="1"/>
  <c r="D104" i="11"/>
  <c r="F104" i="11" s="1"/>
  <c r="D105" i="11"/>
  <c r="F105" i="11" s="1"/>
  <c r="A107" i="11"/>
  <c r="C107" i="11"/>
  <c r="C108" i="11"/>
  <c r="C109" i="11"/>
  <c r="C110" i="11"/>
  <c r="C111" i="11"/>
  <c r="C112" i="11"/>
  <c r="C113" i="11"/>
  <c r="C114" i="11"/>
  <c r="C115" i="11"/>
  <c r="C116" i="11"/>
  <c r="A117" i="11"/>
  <c r="C117" i="11"/>
  <c r="C118" i="11"/>
  <c r="C119" i="11"/>
  <c r="C120" i="11"/>
  <c r="A121" i="11"/>
  <c r="C121" i="11"/>
  <c r="C122" i="11"/>
  <c r="C123" i="11"/>
  <c r="C124" i="11"/>
  <c r="C125" i="11"/>
  <c r="A18" i="11"/>
  <c r="C18" i="11"/>
  <c r="C19" i="11"/>
  <c r="A32" i="11"/>
  <c r="C32" i="11"/>
  <c r="C33" i="11"/>
  <c r="C34" i="11"/>
  <c r="C35" i="11"/>
  <c r="C36" i="11"/>
  <c r="A37" i="11"/>
  <c r="C37" i="11"/>
  <c r="C38" i="11"/>
  <c r="C39" i="11"/>
  <c r="C40" i="11"/>
  <c r="A41" i="11"/>
  <c r="C41" i="11"/>
  <c r="C42" i="11"/>
  <c r="C43" i="11"/>
  <c r="C44" i="11"/>
  <c r="A45" i="11"/>
  <c r="C45" i="11"/>
  <c r="C46" i="11"/>
  <c r="C47" i="11"/>
  <c r="C48" i="11"/>
  <c r="C51" i="11"/>
  <c r="A126" i="11"/>
  <c r="C126" i="11"/>
  <c r="C127" i="11"/>
  <c r="C128" i="11"/>
  <c r="C129" i="11"/>
  <c r="C130" i="11"/>
  <c r="C131" i="11"/>
  <c r="C132" i="11"/>
  <c r="A133" i="11"/>
  <c r="C133" i="11"/>
  <c r="C31" i="10"/>
  <c r="C37" i="10"/>
  <c r="C38" i="10"/>
  <c r="C39" i="10"/>
  <c r="C40" i="10"/>
  <c r="C41" i="10"/>
  <c r="C42" i="10"/>
  <c r="C43" i="10"/>
  <c r="A44" i="10"/>
  <c r="C44" i="10"/>
  <c r="A45" i="10"/>
  <c r="C45" i="10"/>
  <c r="C46" i="10"/>
  <c r="C47" i="10"/>
  <c r="C49" i="10"/>
  <c r="C50" i="10"/>
  <c r="A51" i="10"/>
  <c r="C51" i="10"/>
  <c r="C52" i="10"/>
  <c r="C53" i="10"/>
  <c r="C54" i="10"/>
  <c r="C55" i="10"/>
  <c r="C56" i="10"/>
  <c r="A64" i="10"/>
  <c r="C64" i="10"/>
  <c r="C65" i="10"/>
  <c r="D65" i="10"/>
  <c r="F65" i="10" s="1"/>
  <c r="C66" i="10"/>
  <c r="D66" i="10"/>
  <c r="F66" i="10" s="1"/>
  <c r="C67" i="10"/>
  <c r="D67" i="10"/>
  <c r="F67" i="10" s="1"/>
  <c r="C68" i="10"/>
  <c r="D68" i="10"/>
  <c r="F68" i="10" s="1"/>
  <c r="C70" i="10"/>
  <c r="A57" i="10"/>
  <c r="C57" i="10"/>
  <c r="C58" i="10"/>
  <c r="C59" i="10"/>
  <c r="C60" i="10"/>
  <c r="C61" i="10"/>
  <c r="C62" i="10"/>
  <c r="C63" i="10"/>
  <c r="A71" i="10"/>
  <c r="C71" i="10"/>
  <c r="C72" i="10"/>
  <c r="A75" i="10"/>
  <c r="C75" i="10"/>
  <c r="A82" i="10"/>
  <c r="C82" i="10"/>
  <c r="D83" i="10"/>
  <c r="F83" i="10" s="1"/>
  <c r="D84" i="10"/>
  <c r="F84" i="10" s="1"/>
  <c r="D85" i="10"/>
  <c r="F85" i="10" s="1"/>
  <c r="D86" i="10"/>
  <c r="F86" i="10" s="1"/>
  <c r="A88" i="10"/>
  <c r="C88" i="10"/>
  <c r="C89" i="10"/>
  <c r="C90" i="10"/>
  <c r="C91" i="10"/>
  <c r="C92" i="10"/>
  <c r="C93" i="10"/>
  <c r="A94" i="10"/>
  <c r="C94" i="10"/>
  <c r="C95" i="10"/>
  <c r="C96" i="10"/>
  <c r="C97" i="10"/>
  <c r="A98" i="10"/>
  <c r="C98" i="10"/>
  <c r="C99" i="10"/>
  <c r="C100" i="10"/>
  <c r="C101" i="10"/>
  <c r="C102" i="10"/>
  <c r="A15" i="10"/>
  <c r="C15" i="10"/>
  <c r="C16" i="10"/>
  <c r="C17" i="10"/>
  <c r="C18" i="10"/>
  <c r="C19" i="10"/>
  <c r="A20" i="10"/>
  <c r="C20" i="10"/>
  <c r="C21" i="10"/>
  <c r="C22" i="10"/>
  <c r="C23" i="10"/>
  <c r="A24" i="10"/>
  <c r="C24" i="10"/>
  <c r="C25" i="10"/>
  <c r="C26" i="10"/>
  <c r="C27" i="10"/>
  <c r="C30" i="10"/>
  <c r="A16" i="9"/>
  <c r="C16" i="9"/>
  <c r="C17" i="9"/>
  <c r="C18" i="9"/>
  <c r="C19" i="9"/>
  <c r="C20" i="9"/>
  <c r="C21" i="9"/>
  <c r="A22" i="9"/>
  <c r="C22" i="9"/>
  <c r="C23" i="9"/>
  <c r="C24" i="9"/>
  <c r="C26" i="9"/>
  <c r="C27" i="9"/>
  <c r="A28" i="9"/>
  <c r="C28" i="9"/>
  <c r="C29" i="9"/>
  <c r="C30" i="9"/>
  <c r="C31" i="9"/>
  <c r="C32" i="9"/>
  <c r="C33" i="9"/>
  <c r="A54" i="9"/>
  <c r="C54" i="9"/>
  <c r="C55" i="9"/>
  <c r="D55" i="9"/>
  <c r="F55" i="9" s="1"/>
  <c r="C56" i="9"/>
  <c r="D56" i="9"/>
  <c r="F56" i="9" s="1"/>
  <c r="C57" i="9"/>
  <c r="D57" i="9"/>
  <c r="F57" i="9" s="1"/>
  <c r="C58" i="9"/>
  <c r="D58" i="9"/>
  <c r="F58" i="9" s="1"/>
  <c r="C59" i="9"/>
  <c r="A48" i="9"/>
  <c r="C48" i="9"/>
  <c r="C49" i="9"/>
  <c r="D49" i="9"/>
  <c r="F49" i="9" s="1"/>
  <c r="C50" i="9"/>
  <c r="D50" i="9"/>
  <c r="F50" i="9" s="1"/>
  <c r="C51" i="9"/>
  <c r="D51" i="9"/>
  <c r="F51" i="9" s="1"/>
  <c r="C52" i="9"/>
  <c r="D52" i="9"/>
  <c r="F52" i="9" s="1"/>
  <c r="C53" i="9"/>
  <c r="A34" i="9"/>
  <c r="C34" i="9"/>
  <c r="C35" i="9"/>
  <c r="A41" i="9"/>
  <c r="C41" i="9"/>
  <c r="C42" i="9"/>
  <c r="C43" i="9"/>
  <c r="C44" i="9"/>
  <c r="C45" i="9"/>
  <c r="C46" i="9"/>
  <c r="C47" i="9"/>
  <c r="A60" i="9"/>
  <c r="C60" i="9"/>
  <c r="C61" i="9"/>
  <c r="A64" i="9"/>
  <c r="C64" i="9"/>
  <c r="D65" i="9"/>
  <c r="F65" i="9" s="1"/>
  <c r="D66" i="9"/>
  <c r="F66" i="9" s="1"/>
  <c r="D67" i="9"/>
  <c r="F67" i="9" s="1"/>
  <c r="D68" i="9"/>
  <c r="F68" i="9" s="1"/>
  <c r="A70" i="9"/>
  <c r="C71" i="9"/>
  <c r="C72" i="9"/>
  <c r="C73" i="9"/>
  <c r="C74" i="9"/>
  <c r="C75" i="9"/>
  <c r="A76" i="9"/>
  <c r="C76" i="9"/>
  <c r="C77" i="9"/>
  <c r="C78" i="9"/>
  <c r="C79" i="9"/>
  <c r="A80" i="9"/>
  <c r="C80" i="9"/>
  <c r="C81" i="9"/>
  <c r="C82" i="9"/>
  <c r="C83" i="9"/>
  <c r="C84" i="9"/>
  <c r="A7" i="9"/>
  <c r="C7" i="9"/>
  <c r="C8" i="9"/>
  <c r="C9" i="9"/>
  <c r="C10" i="9"/>
  <c r="C11" i="9"/>
  <c r="A12" i="9"/>
  <c r="C12" i="9"/>
  <c r="C13" i="9"/>
  <c r="C14" i="9"/>
  <c r="C15" i="9"/>
  <c r="A15" i="12"/>
  <c r="C15" i="12"/>
  <c r="C16" i="12"/>
  <c r="C17" i="12"/>
  <c r="C18" i="12"/>
  <c r="C19" i="12"/>
  <c r="C20" i="12"/>
  <c r="A21" i="12"/>
  <c r="C21" i="12"/>
  <c r="C22" i="12"/>
  <c r="C23" i="12"/>
  <c r="C24" i="12"/>
  <c r="C25" i="12"/>
  <c r="C26" i="12"/>
  <c r="A27" i="12"/>
  <c r="C27" i="12"/>
  <c r="C28" i="12"/>
  <c r="C29" i="12"/>
  <c r="C30" i="12"/>
  <c r="C31" i="12"/>
  <c r="C32" i="12"/>
  <c r="A33" i="12"/>
  <c r="C33" i="12"/>
  <c r="A40" i="12"/>
  <c r="C40" i="12"/>
  <c r="C41" i="12"/>
  <c r="C42" i="12"/>
  <c r="C43" i="12"/>
  <c r="C44" i="12"/>
  <c r="C45" i="12"/>
  <c r="C46" i="12"/>
  <c r="A53" i="12"/>
  <c r="C53" i="12"/>
  <c r="C54" i="12"/>
  <c r="C55" i="12"/>
  <c r="C56" i="12"/>
  <c r="A47" i="12"/>
  <c r="C47" i="12"/>
  <c r="C48" i="12"/>
  <c r="C49" i="12"/>
  <c r="C50" i="12"/>
  <c r="C51" i="12"/>
  <c r="C52" i="12"/>
  <c r="A13" i="31"/>
  <c r="C13" i="31"/>
  <c r="A27" i="31"/>
  <c r="C27" i="31"/>
  <c r="C28" i="31"/>
  <c r="C29" i="31"/>
  <c r="C30" i="31"/>
  <c r="C31" i="31"/>
  <c r="C32" i="31"/>
  <c r="A40" i="31"/>
  <c r="C40" i="31"/>
  <c r="C41" i="31"/>
  <c r="C42" i="31"/>
  <c r="C43" i="31"/>
  <c r="C44" i="31"/>
  <c r="C45" i="31"/>
  <c r="A46" i="31"/>
  <c r="C46" i="31"/>
  <c r="C47" i="31"/>
  <c r="C48" i="31"/>
  <c r="C49" i="31"/>
  <c r="A20" i="31"/>
  <c r="C20" i="31"/>
  <c r="C21" i="31"/>
  <c r="C22" i="31"/>
  <c r="C23" i="31"/>
  <c r="C26" i="31"/>
  <c r="A37" i="8"/>
  <c r="C37" i="8"/>
  <c r="C38" i="8"/>
  <c r="C39" i="8"/>
  <c r="C40" i="8"/>
  <c r="C41" i="8"/>
  <c r="C42" i="8"/>
  <c r="A43" i="8"/>
  <c r="C43" i="8"/>
  <c r="C44" i="8"/>
  <c r="A49" i="8"/>
  <c r="C49" i="8"/>
  <c r="C50" i="8"/>
  <c r="C51" i="8"/>
  <c r="A70" i="8"/>
  <c r="C70" i="8"/>
  <c r="D71" i="8"/>
  <c r="F71" i="8" s="1"/>
  <c r="D72" i="8"/>
  <c r="F72" i="8" s="1"/>
  <c r="D73" i="8"/>
  <c r="F73" i="8" s="1"/>
  <c r="D74" i="8"/>
  <c r="F74" i="8" s="1"/>
  <c r="A76" i="8"/>
  <c r="C76" i="8"/>
  <c r="C77" i="8"/>
  <c r="C78" i="8"/>
  <c r="C79" i="8"/>
  <c r="C80" i="8"/>
  <c r="C81" i="8"/>
  <c r="C82" i="8"/>
  <c r="C83" i="8"/>
  <c r="C84" i="8"/>
  <c r="C85" i="8"/>
  <c r="A86" i="8"/>
  <c r="C86" i="8"/>
  <c r="C87" i="8"/>
  <c r="C88" i="8"/>
  <c r="C89" i="8"/>
  <c r="A90" i="8"/>
  <c r="C90" i="8"/>
  <c r="C91" i="8"/>
  <c r="C92" i="8"/>
  <c r="C93" i="8"/>
  <c r="C94" i="8"/>
  <c r="A27" i="8"/>
  <c r="C27" i="8"/>
  <c r="C28" i="8"/>
  <c r="C29" i="8"/>
  <c r="C30" i="8"/>
  <c r="A31" i="8"/>
  <c r="C31" i="8"/>
  <c r="C32" i="8"/>
  <c r="G151" i="15"/>
  <c r="G82" i="23" l="1"/>
  <c r="G97" i="20"/>
  <c r="G29" i="20"/>
  <c r="G106" i="21"/>
  <c r="G24" i="10"/>
  <c r="G64" i="23"/>
  <c r="G31" i="15"/>
  <c r="G57" i="14"/>
  <c r="G45" i="10"/>
  <c r="G20" i="31"/>
  <c r="G30" i="21"/>
  <c r="G15" i="23"/>
  <c r="G18" i="11"/>
  <c r="G127" i="21"/>
  <c r="G82" i="10"/>
  <c r="G74" i="18"/>
  <c r="G47" i="23"/>
  <c r="G125" i="15"/>
  <c r="G101" i="11"/>
  <c r="G88" i="14"/>
  <c r="G70" i="8"/>
  <c r="G64" i="9"/>
  <c r="G90" i="11"/>
  <c r="G85" i="18"/>
  <c r="G122" i="23"/>
  <c r="G77" i="14"/>
  <c r="G54" i="9"/>
  <c r="G106" i="15"/>
  <c r="G104" i="20"/>
  <c r="G48" i="9"/>
  <c r="G64" i="10"/>
  <c r="G60" i="21"/>
  <c r="G15" i="20"/>
  <c r="F26" i="18"/>
  <c r="G25" i="18" s="1"/>
  <c r="F44" i="21"/>
  <c r="G43" i="21" s="1"/>
  <c r="G63" i="21"/>
  <c r="G57" i="21"/>
  <c r="G41" i="18"/>
  <c r="F29" i="23"/>
  <c r="G28" i="23" s="1"/>
  <c r="G56" i="23"/>
  <c r="G44" i="23"/>
  <c r="G31" i="8"/>
  <c r="G102" i="15"/>
  <c r="G103" i="23"/>
  <c r="G83" i="20"/>
  <c r="G22" i="9"/>
  <c r="G73" i="20"/>
  <c r="G79" i="20"/>
  <c r="G63" i="14"/>
  <c r="G92" i="21"/>
  <c r="G117" i="21"/>
  <c r="G91" i="15"/>
  <c r="G99" i="21"/>
  <c r="G113" i="21"/>
  <c r="G84" i="14"/>
  <c r="G109" i="23"/>
  <c r="G133" i="23"/>
  <c r="G96" i="23"/>
  <c r="G12" i="27"/>
  <c r="G70" i="14"/>
  <c r="G129" i="23"/>
  <c r="G90" i="20"/>
  <c r="G59" i="20"/>
  <c r="G21" i="46" s="1"/>
  <c r="B23" i="5" s="1"/>
  <c r="G110" i="20"/>
  <c r="G67" i="20"/>
  <c r="G121" i="20"/>
  <c r="G96" i="18"/>
  <c r="G60" i="18"/>
  <c r="G81" i="18"/>
  <c r="G54" i="18"/>
  <c r="G67" i="18"/>
  <c r="G66" i="15"/>
  <c r="G95" i="15"/>
  <c r="G79" i="15"/>
  <c r="G85" i="15"/>
  <c r="G73" i="15"/>
  <c r="G27" i="17"/>
  <c r="G45" i="17"/>
  <c r="G35" i="17"/>
  <c r="G41" i="17"/>
  <c r="G71" i="11"/>
  <c r="G52" i="11"/>
  <c r="G94" i="14"/>
  <c r="G34" i="9"/>
  <c r="G27" i="31"/>
  <c r="G52" i="17"/>
  <c r="G20" i="17"/>
  <c r="G51" i="14"/>
  <c r="G59" i="17"/>
  <c r="G28" i="9"/>
  <c r="G70" i="9"/>
  <c r="G101" i="9" s="1"/>
  <c r="G16" i="9"/>
  <c r="G41" i="9"/>
  <c r="G107" i="11"/>
  <c r="G58" i="11"/>
  <c r="G65" i="11"/>
  <c r="G76" i="11"/>
  <c r="G97" i="11"/>
  <c r="G83" i="11"/>
  <c r="G51" i="10"/>
  <c r="G57" i="10"/>
  <c r="G37" i="10"/>
  <c r="G88" i="10"/>
  <c r="G117" i="10" s="1"/>
  <c r="G71" i="10"/>
  <c r="G60" i="9"/>
  <c r="G21" i="12"/>
  <c r="G27" i="12"/>
  <c r="G40" i="12"/>
  <c r="G33" i="12"/>
  <c r="G37" i="8"/>
  <c r="G63" i="8"/>
  <c r="G56" i="8"/>
  <c r="G43" i="8"/>
  <c r="G49" i="8"/>
  <c r="G11" i="11"/>
  <c r="F81" i="8"/>
  <c r="G76" i="8" s="1"/>
  <c r="G83" i="17"/>
  <c r="G63" i="17"/>
  <c r="G37" i="11"/>
  <c r="G143" i="21"/>
  <c r="D130" i="18"/>
  <c r="G130" i="18" s="1"/>
  <c r="D150" i="15"/>
  <c r="D175" i="23"/>
  <c r="G175" i="23" s="1"/>
  <c r="D174" i="23"/>
  <c r="G174" i="23" s="1"/>
  <c r="D112" i="17"/>
  <c r="G112" i="17" s="1"/>
  <c r="D133" i="11"/>
  <c r="G133" i="11" s="1"/>
  <c r="D95" i="9"/>
  <c r="G95" i="9" s="1"/>
  <c r="D108" i="10"/>
  <c r="G108" i="10" s="1"/>
  <c r="D176" i="23"/>
  <c r="G176" i="23" s="1"/>
  <c r="G152" i="15"/>
  <c r="F130" i="21"/>
  <c r="G57" i="15"/>
  <c r="G141" i="15"/>
  <c r="G41" i="11"/>
  <c r="G148" i="23"/>
  <c r="G71" i="21"/>
  <c r="G77" i="21"/>
  <c r="G71" i="23"/>
  <c r="G77" i="23"/>
  <c r="G11" i="27"/>
  <c r="G61" i="27"/>
  <c r="G127" i="18"/>
  <c r="G44" i="18"/>
  <c r="G15" i="12"/>
  <c r="G10" i="27"/>
  <c r="G109" i="14"/>
  <c r="G33" i="14"/>
  <c r="G48" i="18"/>
  <c r="G76" i="9"/>
  <c r="G122" i="18"/>
  <c r="G94" i="10"/>
  <c r="G126" i="11"/>
  <c r="G7" i="9"/>
  <c r="G113" i="11"/>
  <c r="G34" i="18"/>
  <c r="G148" i="20"/>
  <c r="G29" i="27"/>
  <c r="G90" i="8"/>
  <c r="G46" i="31"/>
  <c r="G47" i="12"/>
  <c r="G65" i="12" s="1"/>
  <c r="G53" i="12"/>
  <c r="G80" i="9"/>
  <c r="G20" i="10"/>
  <c r="G117" i="11"/>
  <c r="G45" i="14"/>
  <c r="G104" i="18"/>
  <c r="G41" i="27"/>
  <c r="G86" i="8"/>
  <c r="G82" i="8"/>
  <c r="G12" i="9"/>
  <c r="G100" i="14"/>
  <c r="G125" i="20"/>
  <c r="G159" i="23"/>
  <c r="G138" i="23"/>
  <c r="G20" i="27"/>
  <c r="G24" i="27"/>
  <c r="G46" i="27"/>
  <c r="G42" i="20"/>
  <c r="G143" i="20"/>
  <c r="G27" i="8"/>
  <c r="G15" i="10"/>
  <c r="G98" i="10"/>
  <c r="G121" i="11"/>
  <c r="G32" i="11"/>
  <c r="G136" i="11" s="1"/>
  <c r="G34" i="27"/>
  <c r="G109" i="18"/>
  <c r="G139" i="18" s="1"/>
  <c r="G53" i="20"/>
  <c r="G130" i="20"/>
  <c r="G13" i="31"/>
  <c r="G115" i="18"/>
  <c r="G47" i="20"/>
  <c r="G136" i="20"/>
  <c r="G40" i="31"/>
  <c r="G8" i="12"/>
  <c r="G31" i="10"/>
  <c r="G45" i="11"/>
  <c r="G14" i="17"/>
  <c r="G95" i="17"/>
  <c r="G171" i="23"/>
  <c r="G100" i="18"/>
  <c r="G152" i="23"/>
  <c r="G53" i="15"/>
  <c r="G41" i="15"/>
  <c r="G38" i="15"/>
  <c r="G131" i="15"/>
  <c r="G47" i="27"/>
  <c r="G38" i="14"/>
  <c r="G85" i="23"/>
  <c r="G91" i="23"/>
  <c r="G142" i="23"/>
  <c r="G50" i="23"/>
  <c r="G60" i="23"/>
  <c r="F167" i="23"/>
  <c r="G166" i="23" s="1"/>
  <c r="G67" i="21"/>
  <c r="G52" i="21"/>
  <c r="G86" i="21"/>
  <c r="G131" i="21"/>
  <c r="G138" i="21"/>
  <c r="G121" i="21"/>
  <c r="G155" i="21" s="1"/>
  <c r="G104" i="14"/>
  <c r="G7" i="14"/>
  <c r="G21" i="14"/>
  <c r="G27" i="14"/>
  <c r="G89" i="17"/>
  <c r="G99" i="17"/>
  <c r="G79" i="17"/>
  <c r="G47" i="15"/>
  <c r="G60" i="15"/>
  <c r="G135" i="15"/>
  <c r="G139" i="11" l="1"/>
  <c r="G53" i="31"/>
  <c r="G136" i="18"/>
  <c r="G125" i="17"/>
  <c r="G71" i="27"/>
  <c r="G74" i="27"/>
  <c r="G149" i="21"/>
  <c r="G182" i="23"/>
  <c r="G158" i="15"/>
  <c r="G161" i="20"/>
  <c r="G158" i="21"/>
  <c r="G164" i="15"/>
  <c r="G185" i="23"/>
  <c r="G111" i="10"/>
  <c r="G122" i="17"/>
  <c r="G158" i="20"/>
  <c r="G161" i="15"/>
  <c r="G133" i="18"/>
  <c r="G123" i="14"/>
  <c r="G152" i="21"/>
  <c r="G129" i="14"/>
  <c r="G188" i="23"/>
  <c r="G62" i="12"/>
  <c r="G69" i="12" s="1"/>
  <c r="G155" i="15"/>
  <c r="G59" i="12"/>
  <c r="G108" i="8"/>
  <c r="G119" i="17"/>
  <c r="G142" i="18"/>
  <c r="G114" i="8"/>
  <c r="G98" i="9"/>
  <c r="G114" i="10"/>
  <c r="G179" i="23"/>
  <c r="G128" i="17"/>
  <c r="G145" i="11"/>
  <c r="G167" i="20"/>
  <c r="G191" i="23"/>
  <c r="G116" i="17"/>
  <c r="G142" i="11"/>
  <c r="G126" i="14"/>
  <c r="G111" i="8"/>
  <c r="G148" i="11"/>
  <c r="G168" i="15" l="1"/>
  <c r="B18" i="5" s="1"/>
  <c r="G171" i="20"/>
  <c r="B20" i="5" s="1"/>
  <c r="G162" i="21"/>
  <c r="B21" i="5" s="1"/>
  <c r="G146" i="18"/>
  <c r="B19" i="5" s="1"/>
  <c r="G195" i="23"/>
  <c r="B22" i="5" s="1"/>
  <c r="G132" i="17"/>
  <c r="B17" i="5" s="1"/>
  <c r="B12" i="5"/>
  <c r="G79" i="27"/>
  <c r="B24" i="5" s="1"/>
  <c r="G118" i="8"/>
  <c r="B10" i="5" s="1"/>
  <c r="G105" i="9"/>
  <c r="B13" i="5" s="1"/>
  <c r="G133" i="14"/>
  <c r="B16" i="5" s="1"/>
  <c r="B11" i="5"/>
  <c r="G121" i="10"/>
  <c r="B14" i="5" s="1"/>
  <c r="G152" i="11"/>
  <c r="B15" i="5" s="1"/>
</calcChain>
</file>

<file path=xl/sharedStrings.xml><?xml version="1.0" encoding="utf-8"?>
<sst xmlns="http://schemas.openxmlformats.org/spreadsheetml/2006/main" count="3525" uniqueCount="2566">
  <si>
    <t>S5</t>
  </si>
  <si>
    <t>Shorebird Feeding Habitats</t>
  </si>
  <si>
    <t>25-50%</t>
  </si>
  <si>
    <t>50-75%</t>
  </si>
  <si>
    <t>&gt;75%</t>
  </si>
  <si>
    <t>Internal Gradient</t>
  </si>
  <si>
    <t>extensive evidence, high intensity*</t>
  </si>
  <si>
    <t>potentially (based on high-intensity* land use) or scattered evidence</t>
  </si>
  <si>
    <t>potentially (based on low-intensity* land use) with little or no direct evidence</t>
  </si>
  <si>
    <t>Severe (3 pts)</t>
  </si>
  <si>
    <t>Severe (3 points)</t>
  </si>
  <si>
    <t>Medium (2 points)</t>
  </si>
  <si>
    <t>Mild (1 point)</t>
  </si>
  <si>
    <t>Aquatic Invertebrate Habitat (INV)</t>
  </si>
  <si>
    <t>Domestic Wells</t>
  </si>
  <si>
    <t>Non-consumptive Uses - Actual or Potential</t>
  </si>
  <si>
    <t>Dense vegetation offers frictional resistance to water flow, promoting sedimentation of suspended particles, as well as reducing the resuspension of bottom sediments by waves and currents.</t>
  </si>
  <si>
    <t>These features cumulatively decelerate runoff, thus allowing for more sedimentation to occur, although usually only to a minor degree.</t>
  </si>
  <si>
    <t>F66</t>
  </si>
  <si>
    <t>N Fixers</t>
  </si>
  <si>
    <t>Unless impounded, steeply sloping wetlands retain less surface runoff and precipitation.</t>
  </si>
  <si>
    <r>
      <t xml:space="preserve">those species together do </t>
    </r>
    <r>
      <rPr>
        <b/>
        <sz val="10"/>
        <rFont val="Arial Narrow"/>
        <family val="2"/>
      </rPr>
      <t xml:space="preserve">not </t>
    </r>
    <r>
      <rPr>
        <sz val="10"/>
        <rFont val="Arial Narrow"/>
        <family val="2"/>
      </rPr>
      <t>comprise &gt; 50% of the areal cover of native herbaceous plants at any time during the year.</t>
    </r>
  </si>
  <si>
    <t>5-50%</t>
  </si>
  <si>
    <t>F42</t>
  </si>
  <si>
    <t>F43</t>
  </si>
  <si>
    <t>F45</t>
  </si>
  <si>
    <t>F49</t>
  </si>
  <si>
    <t>F50</t>
  </si>
  <si>
    <t>F51</t>
  </si>
  <si>
    <t>F54</t>
  </si>
  <si>
    <t xml:space="preserve">Most amphibians in this region appear to prefer ponded or slowly-flowing waters, as are typically associated with gentle gradient.  </t>
  </si>
  <si>
    <t>Increased visitation by humans and pets can potentially increase the spread of aquatic fungi that are lethal to many amphibians.</t>
  </si>
  <si>
    <t>Wetlands with upland inclusions allow animals to move more conveniently between uplands and wetlands, using resources in each.</t>
  </si>
  <si>
    <t>Data</t>
  </si>
  <si>
    <t>F56</t>
  </si>
  <si>
    <t>Consumptive Uses (Provisioning Services)</t>
  </si>
  <si>
    <t>1-25%</t>
  </si>
  <si>
    <t>F65</t>
  </si>
  <si>
    <t>F46</t>
  </si>
  <si>
    <t>Usual toxicity of most toxic contaminants</t>
  </si>
  <si>
    <t>Frequency &amp; duration of input</t>
  </si>
  <si>
    <t>AA proximity to main sources (actual or potential)</t>
  </si>
  <si>
    <t>Erosion in CA</t>
  </si>
  <si>
    <t>Recentness of significant soil disturbance in the CA</t>
  </si>
  <si>
    <t>current &amp; ongoing</t>
  </si>
  <si>
    <t>1-12 months ago</t>
  </si>
  <si>
    <t>&gt;1 yr ago</t>
  </si>
  <si>
    <t>AA proximity to actual or potential sources</t>
  </si>
  <si>
    <t>Greater microtopography implies greater heterogeneity of water, vegetation, and disturbance regimes, which together should indicate higher capacity to support a wide variety of invertebrates.</t>
  </si>
  <si>
    <t>Steeper gradients imply a greater likelihood that whatever organic matter is produced will be transported offsite.</t>
  </si>
  <si>
    <t>Upland Inclusions</t>
  </si>
  <si>
    <t>Nitrate Removal &amp; Retention (NR)</t>
  </si>
  <si>
    <t>These features cumulatively decelerate runoff, thus allowing for more deposition of phosphorus-containing suspended sediments to occur, although usually only to a minor degree.</t>
  </si>
  <si>
    <r>
      <t xml:space="preserve">those species together comprise </t>
    </r>
    <r>
      <rPr>
        <b/>
        <sz val="10"/>
        <rFont val="Arial Narrow"/>
        <family val="2"/>
      </rPr>
      <t>&gt; 50%</t>
    </r>
    <r>
      <rPr>
        <sz val="10"/>
        <rFont val="Arial Narrow"/>
        <family val="2"/>
      </rPr>
      <t xml:space="preserve"> of the areal cover of </t>
    </r>
    <r>
      <rPr>
        <b/>
        <sz val="10"/>
        <rFont val="Arial Narrow"/>
        <family val="2"/>
      </rPr>
      <t xml:space="preserve">native </t>
    </r>
    <r>
      <rPr>
        <sz val="10"/>
        <rFont val="Arial Narrow"/>
        <family val="2"/>
      </rPr>
      <t>herbaceous plants at any time during the year.</t>
    </r>
  </si>
  <si>
    <t>&gt;10%</t>
  </si>
  <si>
    <t>6-10%</t>
  </si>
  <si>
    <t xml:space="preserve">&lt;5% </t>
  </si>
  <si>
    <t>Many wetland invertebrates inhabit the soil, and potentially are harmed by soil disturbance such as from tillage or compaction.</t>
  </si>
  <si>
    <r>
      <t xml:space="preserve">those species together comprise </t>
    </r>
    <r>
      <rPr>
        <b/>
        <sz val="10"/>
        <rFont val="Arial Narrow"/>
        <family val="2"/>
      </rPr>
      <t>&gt; 50%</t>
    </r>
    <r>
      <rPr>
        <sz val="10"/>
        <rFont val="Arial Narrow"/>
        <family val="2"/>
      </rPr>
      <t xml:space="preserve"> of the areal cover of</t>
    </r>
    <r>
      <rPr>
        <b/>
        <sz val="10"/>
        <rFont val="Arial Narrow"/>
        <family val="2"/>
      </rPr>
      <t xml:space="preserve"> </t>
    </r>
    <r>
      <rPr>
        <sz val="10"/>
        <rFont val="Arial Narrow"/>
        <family val="2"/>
      </rPr>
      <t>native shrub species.</t>
    </r>
  </si>
  <si>
    <r>
      <t xml:space="preserve">those species together do </t>
    </r>
    <r>
      <rPr>
        <b/>
        <sz val="10"/>
        <rFont val="Arial Narrow"/>
        <family val="2"/>
      </rPr>
      <t xml:space="preserve">not </t>
    </r>
    <r>
      <rPr>
        <sz val="10"/>
        <rFont val="Arial Narrow"/>
        <family val="2"/>
      </rPr>
      <t>comprise &gt; 50% of the areal cover of native shrub species.</t>
    </r>
  </si>
  <si>
    <t xml:space="preserve">3-9 yrs ago </t>
  </si>
  <si>
    <t>10-100 yrs ago</t>
  </si>
  <si>
    <t>Wetlands that lack surface water throughout the year may still provide dispersal sites for adult frogs, toads, and salamanders, but do not provide reproductive habitat for most amphibian species.</t>
  </si>
  <si>
    <t>Most waterbirds favor ponded areas (that typically are flat) rather than flowing water that typifies slope wetlands.</t>
  </si>
  <si>
    <t>F59</t>
  </si>
  <si>
    <t>Amphibian Habitat (AM)</t>
  </si>
  <si>
    <t>F44</t>
  </si>
  <si>
    <t>No</t>
  </si>
  <si>
    <t>frequent but mostly seasonal</t>
  </si>
  <si>
    <t>frequent and year-round</t>
  </si>
  <si>
    <t>infrequent &amp; during high runoff events mainly</t>
  </si>
  <si>
    <t>Outflow Confinement</t>
  </si>
  <si>
    <t>intermediate</t>
  </si>
  <si>
    <t>Duration</t>
  </si>
  <si>
    <t>Timing of soil alteration</t>
  </si>
  <si>
    <t>See above.</t>
  </si>
  <si>
    <t>50-95%</t>
  </si>
  <si>
    <t>Indicator</t>
  </si>
  <si>
    <t>#</t>
  </si>
  <si>
    <t>VwidthAbs6</t>
  </si>
  <si>
    <t>OutDura6</t>
  </si>
  <si>
    <t>Constric6</t>
  </si>
  <si>
    <t>ThruFlo6</t>
  </si>
  <si>
    <t>Nfixer6</t>
  </si>
  <si>
    <t>Gcover6</t>
  </si>
  <si>
    <t>SoilTex6</t>
  </si>
  <si>
    <t>Gradient6</t>
  </si>
  <si>
    <t>NewWet6</t>
  </si>
  <si>
    <t>Wettype8</t>
  </si>
  <si>
    <t>SeasPct8</t>
  </si>
  <si>
    <t>AqCov8</t>
  </si>
  <si>
    <t>PermWpct8</t>
  </si>
  <si>
    <t>Depth8</t>
  </si>
  <si>
    <t>Interspers8</t>
  </si>
  <si>
    <t>ThruFlo8</t>
  </si>
  <si>
    <t>Nfixers8</t>
  </si>
  <si>
    <t>WoodDown8</t>
  </si>
  <si>
    <t>Girreg8</t>
  </si>
  <si>
    <t>AltTime8</t>
  </si>
  <si>
    <t>SedCA8</t>
  </si>
  <si>
    <t>SoilDisturb8</t>
  </si>
  <si>
    <t>Groundw8</t>
  </si>
  <si>
    <t>PermWpct10</t>
  </si>
  <si>
    <t>WoodAbove10</t>
  </si>
  <si>
    <t>IsoDry10</t>
  </si>
  <si>
    <t>Depth10</t>
  </si>
  <si>
    <t>DepthEven10</t>
  </si>
  <si>
    <t>Interspers10</t>
  </si>
  <si>
    <t>OutDura10</t>
  </si>
  <si>
    <t>ThruFlo10</t>
  </si>
  <si>
    <t>NatVegCUpct10</t>
  </si>
  <si>
    <t>AltTime10</t>
  </si>
  <si>
    <t>Groundw10</t>
  </si>
  <si>
    <t>Lake10</t>
  </si>
  <si>
    <t>Fluctu11</t>
  </si>
  <si>
    <t>WoodAbove11</t>
  </si>
  <si>
    <t>IsoWet11</t>
  </si>
  <si>
    <t>Interspers11</t>
  </si>
  <si>
    <t>Vwidth11</t>
  </si>
  <si>
    <t>TreeVar11</t>
  </si>
  <si>
    <t>WoodDown11</t>
  </si>
  <si>
    <t>Girreg11</t>
  </si>
  <si>
    <t>Gradient11</t>
  </si>
  <si>
    <t>GroundW11</t>
  </si>
  <si>
    <t>Core1_11</t>
  </si>
  <si>
    <t>Core2_11</t>
  </si>
  <si>
    <t>AcidicPool10</t>
  </si>
  <si>
    <t>Wettype13</t>
  </si>
  <si>
    <t>Fluctu13</t>
  </si>
  <si>
    <t>PermWpct13</t>
  </si>
  <si>
    <t>ISOdry13</t>
  </si>
  <si>
    <t>DepthEven13</t>
  </si>
  <si>
    <t>Interspers13</t>
  </si>
  <si>
    <t>VwidthAbs13</t>
  </si>
  <si>
    <t>EmPct13</t>
  </si>
  <si>
    <t>SnagB13</t>
  </si>
  <si>
    <t>TreeForm13</t>
  </si>
  <si>
    <t>Gradient13</t>
  </si>
  <si>
    <t>Core1_13</t>
  </si>
  <si>
    <t>Core2_13</t>
  </si>
  <si>
    <t>BuffNatPct13</t>
  </si>
  <si>
    <t>ShoreSlope13</t>
  </si>
  <si>
    <t>Acidic13</t>
  </si>
  <si>
    <t>Beaver13</t>
  </si>
  <si>
    <t>PermWpct14</t>
  </si>
  <si>
    <t>WoodyPct14</t>
  </si>
  <si>
    <t>WoodDown14</t>
  </si>
  <si>
    <t>Inclus14</t>
  </si>
  <si>
    <t>Cliffs14</t>
  </si>
  <si>
    <t>Core14a</t>
  </si>
  <si>
    <t>Core14b</t>
  </si>
  <si>
    <t>CUbuffNatPct14</t>
  </si>
  <si>
    <t>CUtypeLU14</t>
  </si>
  <si>
    <t>Interspers14</t>
  </si>
  <si>
    <t>Vwidth14</t>
  </si>
  <si>
    <t>ShrubDiv14</t>
  </si>
  <si>
    <t>Unless (or even when) new wetlands are sown with plants, the number of species often remains low for years as colonization gradually occurs and diverse plant communities become established.</t>
  </si>
  <si>
    <t>Songbird, Raptor, &amp; Mammal Habitat (SBM)</t>
  </si>
  <si>
    <t>5 to 30%</t>
  </si>
  <si>
    <t>30 to 60%</t>
  </si>
  <si>
    <t>60 to 90%</t>
  </si>
  <si>
    <t>Intermediate</t>
  </si>
  <si>
    <t>Downed Wood</t>
  </si>
  <si>
    <t>Ground Irregularity</t>
  </si>
  <si>
    <t>Input timing now vs. previously</t>
  </si>
  <si>
    <t>F55</t>
  </si>
  <si>
    <t>Predominant Depth Class</t>
  </si>
  <si>
    <t>Spatial extent of altered soil</t>
  </si>
  <si>
    <t>Depth15</t>
  </si>
  <si>
    <t>WidthPD</t>
  </si>
  <si>
    <t>wood2pd</t>
  </si>
  <si>
    <t>GirregPD</t>
  </si>
  <si>
    <t>SoilTexPD</t>
  </si>
  <si>
    <t>herbdom15</t>
  </si>
  <si>
    <t>WeedSourcePD</t>
  </si>
  <si>
    <t>NatVegCApd</t>
  </si>
  <si>
    <t>BuffLUpd</t>
  </si>
  <si>
    <t>Core1pd</t>
  </si>
  <si>
    <t>Core2pd</t>
  </si>
  <si>
    <t>NewWetPD</t>
  </si>
  <si>
    <t>AltTime20</t>
  </si>
  <si>
    <t>SedDisturb20</t>
  </si>
  <si>
    <t>NfixPD</t>
  </si>
  <si>
    <t>GWpd</t>
  </si>
  <si>
    <t>InterspersPD</t>
  </si>
  <si>
    <t>BeaverPD</t>
  </si>
  <si>
    <t>InfloPD</t>
  </si>
  <si>
    <t>FlucPD</t>
  </si>
  <si>
    <t>Depth2_</t>
  </si>
  <si>
    <t>Soil2_</t>
  </si>
  <si>
    <t>Groundw2_</t>
  </si>
  <si>
    <t>OutDur2_</t>
  </si>
  <si>
    <t>OutDur7</t>
  </si>
  <si>
    <t>Gwater7</t>
  </si>
  <si>
    <t>Shade7</t>
  </si>
  <si>
    <t>ISOdry7</t>
  </si>
  <si>
    <t>Depth7</t>
  </si>
  <si>
    <t>Fluc2</t>
  </si>
  <si>
    <t>SeasPct2</t>
  </si>
  <si>
    <t>DepthC2</t>
  </si>
  <si>
    <t>WatEdgeSlope2</t>
  </si>
  <si>
    <t>WidthAbs2</t>
  </si>
  <si>
    <t>OutDur2</t>
  </si>
  <si>
    <t>Constric2</t>
  </si>
  <si>
    <t>ThruFlo2</t>
  </si>
  <si>
    <t>Gcover2</t>
  </si>
  <si>
    <t>Girreg2</t>
  </si>
  <si>
    <t>Gradient2</t>
  </si>
  <si>
    <t>Lake3</t>
  </si>
  <si>
    <t>Persis3</t>
  </si>
  <si>
    <t>Fluctu3</t>
  </si>
  <si>
    <t>DomDepth3</t>
  </si>
  <si>
    <t>VegWabs3</t>
  </si>
  <si>
    <t>OutDura3</t>
  </si>
  <si>
    <t>Constric3</t>
  </si>
  <si>
    <t>ThruFlo3</t>
  </si>
  <si>
    <t>Gcover3</t>
  </si>
  <si>
    <t>Girreg3</t>
  </si>
  <si>
    <t>SoilTex3</t>
  </si>
  <si>
    <t>Gradient3</t>
  </si>
  <si>
    <t>Wettype4</t>
  </si>
  <si>
    <t>SeasWpct4</t>
  </si>
  <si>
    <t>PermWpct4</t>
  </si>
  <si>
    <t>Fluctu4</t>
  </si>
  <si>
    <t>Interspers4</t>
  </si>
  <si>
    <t>Groundw4</t>
  </si>
  <si>
    <t>OutDura4</t>
  </si>
  <si>
    <t>Constric4</t>
  </si>
  <si>
    <t>Gcover4</t>
  </si>
  <si>
    <t>Girreg4</t>
  </si>
  <si>
    <t>Inclus4</t>
  </si>
  <si>
    <t>SoilTex4</t>
  </si>
  <si>
    <t>Gradient4</t>
  </si>
  <si>
    <t>NewWet</t>
  </si>
  <si>
    <t>Wettype2</t>
  </si>
  <si>
    <t>Organic Nutrient Export (OE)</t>
  </si>
  <si>
    <t>&lt;1%</t>
  </si>
  <si>
    <t>F47</t>
  </si>
  <si>
    <t>F52</t>
  </si>
  <si>
    <t>F53</t>
  </si>
  <si>
    <t>F57</t>
  </si>
  <si>
    <t>F58</t>
  </si>
  <si>
    <t>F60</t>
  </si>
  <si>
    <t>F61</t>
  </si>
  <si>
    <t>F63</t>
  </si>
  <si>
    <t>F64</t>
  </si>
  <si>
    <t>Ownership</t>
  </si>
  <si>
    <t>2-5%</t>
  </si>
  <si>
    <t>F48</t>
  </si>
  <si>
    <t>Woody Diameter Classes</t>
  </si>
  <si>
    <t>Visibility</t>
  </si>
  <si>
    <t>long-lasting, minimal veg recovery</t>
  </si>
  <si>
    <t>long-lasting but mostly revegetated</t>
  </si>
  <si>
    <t xml:space="preserve">short-term, revegetated, not intense </t>
  </si>
  <si>
    <t>Some of these features are important to bank-living beavers, swallows, and swifts.</t>
  </si>
  <si>
    <t>Rationale</t>
  </si>
  <si>
    <t>Public enjoyment of wetlands is assumed to be greater when most of the wetland can be seen without obstruction by dense shrubs or other features.</t>
  </si>
  <si>
    <t>If accessible, wetlands closer to roads are likely to be visited by more people on foot.</t>
  </si>
  <si>
    <t>F62</t>
  </si>
  <si>
    <t>Wetlands that have no outflow are likely to have only minimal effect on temperature of other water bodies.</t>
  </si>
  <si>
    <t>SeasWpct6</t>
  </si>
  <si>
    <t xml:space="preserve">Dense vegetation offers frictional resistance to runoff, promoting sedimentation of suspended particles and reducing erosion. This promotes phosphorus retention because phosphorus is typically adsorbed to soil particles. </t>
  </si>
  <si>
    <t>Phosphorus Retention (PR)</t>
  </si>
  <si>
    <t>Core1PU</t>
  </si>
  <si>
    <t>Core2PU</t>
  </si>
  <si>
    <t>Wetlands fed by groundwater tend to remain saturated for longer in the summer, thus increasing their chances of supporting streamflow downslope.</t>
  </si>
  <si>
    <t>Stream Flow Support (SFS)</t>
  </si>
  <si>
    <t>Surface Water Storage (WS)</t>
  </si>
  <si>
    <t>Soil compaction seals up pores in the soil that serve as habitat space for denitrifying bacteria, as well as causing a larger proportion of the precipitation to leave as runoff rather than infiltrate into subsurface areas where denitrification is greatest. Soil erosion often results in loss of carbon-rich upper soil layers that are important to denitrification.</t>
  </si>
  <si>
    <t>Nitrogen added to a wetland by N-fixing plants can increase the wetland's overall plant productivity, potentially making more organic matter available for export. Presence of alder in conifer woodlands also can speed the decomposition of organic material from the conifers (Fyles &amp; Fyles 1993) perhaps making it more useful for supporting aquatic life.</t>
  </si>
  <si>
    <t>These features cumulatively decelerate runoff, thus allowing for more biological processing and deposition of nitrate-containing suspended sediments, although usually only to a minor degree. The presence of soil cracks implies a potential downward extension of the aerobic zone, interspersing it with anaerobic areas, which should lead to greater denitrification. Studies of wastewater treatment wetlands have shown greater nitrate removal where pockets of deeper water are interspersed with shallower areas (i.e., diverse microtopography).</t>
  </si>
  <si>
    <t>Upland soils are normally aerobic, whereas wetland soils are often anaerobic. Maximum denitrification occurs at the interface of aerobic and anaerobic conditions. Thus, if inclusions of aerobic non-wetland soils are numerous and interspersed throughout a wetland, the extent of denitrification overall should be greater.</t>
  </si>
  <si>
    <t xml:space="preserve">Flatter wetlands are more likely than steep ones to slow runoff, facilitating more deposition of suspended matter and the nitrate that is associated with it, and also supporting anaerobic conditions that lead to more nitrate removal via denitrification. Steeper gradients in a wetland imply greater potential for outflow and transport downslope, and more aerobic conditions. </t>
  </si>
  <si>
    <t>Type of Cover in Buffer</t>
  </si>
  <si>
    <t>Flatter wetlands are more likely than steep ones to slow runoff, facilitating more deposition of suspended matter and the phosphorus that is associated with it. Ground cover becomes more important to sediment stabilization in wetlands on slopes.</t>
  </si>
  <si>
    <t>Coarse soils tend to be less productive and in some cases this results in reduced species richness of wetland plants. Wetland soils with higher organic content often support greater plant species richness (e.g., Alsfeld et al. 2009) but only if not too acidic (e.g., fens are not). However, when organic soils are acidic (e.g., bogs) they often support species uncommon in wetlands elsewhere.</t>
  </si>
  <si>
    <t>Although not all invasive upland plants are capable of establishing sustained populations in wetlands, many can. When they do they reduce plant diversity.</t>
  </si>
  <si>
    <t xml:space="preserve">Streams adjoined by natural vegetation provide shade that helps maintain water temperature, as well as supporting richer and healthier communities of fish as well as invertebrates. Often, only very tolerant fish species are present in streams in heavily urbanized areas (Yoder et al. 1999) and invasive species may enjoy a competitive advantage over native species under urban conditions (Boet et al. 1999). </t>
  </si>
  <si>
    <t>Wetlands with a large perimeter-to-area ratio (i.e., convoluted edges) or upland inclusions allow animals to move more conveniently between uplands and wetlands, using resources in each. In particular, small mammals avoid wetter (usually more central) parts of wetlands in favor of drier edges (Mazerolle et al. 2001).  In British Columbia, activity levels of bats were more than 40 times greater in riparian than in upland areas, due to greater abundance of emerging aquatic insects, and were significantly greater where stand complexity and extent of forest edges was greater; bat activity levels were not correlated with forest stand age (Grindal et al. Brigham 1999, Grindal et al. 1999).</t>
  </si>
  <si>
    <t xml:space="preserve">Most waterbirds favor emergent herbaceous vegetation rather than woody vegetation, partly because it provides food as well as cover. </t>
  </si>
  <si>
    <t>Most waterbirds situate their nests on or near persistent water. However, wetlands that flood only seasonally often provide more food and cover for young.</t>
  </si>
  <si>
    <t>Fringe Wetland</t>
  </si>
  <si>
    <t>Lacustrine Wetland</t>
  </si>
  <si>
    <t xml:space="preserve">Sites that remain continually moist (saturated) but not flooded may be more likely to retain phosphorus (Aldous et al. 2007). </t>
  </si>
  <si>
    <t>SatPct8</t>
  </si>
  <si>
    <t>SatPct11</t>
  </si>
  <si>
    <t>SatPct14</t>
  </si>
  <si>
    <t>SatPct13</t>
  </si>
  <si>
    <t>SatPct7</t>
  </si>
  <si>
    <t>When water remains entirely belowground, water temperatures in summer remain cooler than if exposed aboveground.</t>
  </si>
  <si>
    <t>Denitrification processes occur when anaerobic conditions occur, which are more likely when surface water is present and blocks gas exchange. Shallow inundation tends to decrease emissions of nitrous oxide (Zaman et al. 2007, Song et al. 2008) .</t>
  </si>
  <si>
    <t>Used as a classifier. Wetlands that are never inundated cannot support resident fish.</t>
  </si>
  <si>
    <t>SatPct10</t>
  </si>
  <si>
    <t>Literature Cited</t>
  </si>
  <si>
    <t>Booth, D. B. and C. R. Jackson. 1997. Urbanization of aquatic systems: Degradation thresholds, stormwater detection, and the limits of mitigation. JAWRA Journal of the American Water Resources Association 33:1077-1090.</t>
  </si>
  <si>
    <t>Carter, V., M. S. Bedinger, R. P. Novitski, and W. Wilen. 1979. Water resources and wetlands. Pages 344–376 in P. E. Greeson, J. R. Clark, and J. E. Clark, editors. Wetland Functions and Values: The State of Our Understanding. American Water Resources Association, Minneapolis, MN.</t>
  </si>
  <si>
    <t>Quinton, W. L. and N. T. Roulet. 1998. Spring and summer runoff hydrology of a subarctic patterned wetland. Arctic and Alpine Research 30:285-294.</t>
  </si>
  <si>
    <t>Roulet, N. T. and M. K. Woo. 1988. Run-off generation in a low arctic drainage-basin. Journal of Hydrology 101:213-226.</t>
  </si>
  <si>
    <t>Spence, C., X. J. Guan, and R. Phillips. 2011. The hydrological functions of a boreal wetland. Wetlands 31:75-85.</t>
  </si>
  <si>
    <t>Waite, T. A. and L. G. Campbell. 2006. Controlling the false discovery rate and increasing statistical power in ecological studies. Ecoscience 13:439-442.</t>
  </si>
  <si>
    <t>Mellina, E., R. D. Moore, S. G. Hinch, J. S. Macdonald, and G. Pearson. 2002. Stream temperature responses to clearcut logging in British Columbia: the moderating influences of groundwater and headwater lakes. Canadian Journal of Fisheries and Aquatic Sciences 59:1886-1900.</t>
  </si>
  <si>
    <t>Reinelt, L. E. and R. R. Horner. 1990. Characterization of the Hydrology and Water Quality of Palustrine Wetlands Affected by Urban Stormwater. King County Resource Planning Section, Seattle, WA.</t>
  </si>
  <si>
    <t>Rounds, S. A. 2007. Temperature Effects of Point Sources, Riparian Shading, and Dam Operations on the Willamette River, Oregon. Scientific Investigations Report 2007–5185. U.S. Department of the Interior, U.S. Geological Survey, Portland, OR.</t>
  </si>
  <si>
    <t>Amatya, D. M., R. W. Skaggs, J. W. Gilliam, and J. H. Hughes. 2003. Effects of orifice-weir outlet on hydrology and water quality of a drained forested watershed. Southern Journal of Applied Forestry 27:130-142.</t>
  </si>
  <si>
    <t>Evans, R. D. and F. H. Rigler. 1983. A test of lead-210 dating for the measurement of whole lake soft sediment accumulation. Canadian Journal of Fisheries and Aquatic Sciences 40:506-515.</t>
  </si>
  <si>
    <t>Knutson, P., J. Ford, M. Inskeep, and J. Oyler. 1981. National survey of planted salt marshes (Vegetative stabilization and wave stress). Wetlands 1:129-157.</t>
  </si>
  <si>
    <t>Morris, A. W., A. J. Bale, and R. J. M. Howland. 1981. Nutrient distributions in an estuary - evidence of chemical precipitation of dissolved silicate and phosphate. Estuarine Coastal and Shelf Science 12:205-216.</t>
  </si>
  <si>
    <t>Nolan, K. M. and D. C. Marron. 1985. Contrast in stream-channel response to major storms in two mountainous areas of California. Geology 13:135-138.</t>
  </si>
  <si>
    <t>Polyakov, V., A. Fares, and M. H. Ryder. 2005. Precision riparian buffers for the control of nonpoint source pollutant loading into surface water: A review. Environmental Reviews 13:129-144.</t>
  </si>
  <si>
    <t>White, W. J., L. A. Morris, D. B. Warnell, A. P. Pinho, C. R. Jackson, and L. T. West. 2007. Sediment retention by forested filter strips in the Piedmont of Georgia. Journal of Soil and Water Conservation 62:453-463.</t>
  </si>
  <si>
    <t>Aldous, A., P. McCormick, C. Ferguson, S. Graham, and C. Craft. 2005. Hydrologic regime controls soil phosphorus fluxes in restoration and undisturbed wetlands. Restoration Ecology 13:341-347.</t>
  </si>
  <si>
    <t>Aldous, A. R., C. B. Craft, C. J. Stevens, M. J. Barry, and L. B. Bach. 2007. Soil phosphorus release from a restoration wetland, Upper Klamath Lake, Oregon. Wetlands 27:1025-1035.</t>
  </si>
  <si>
    <t>Burley, K. L., E. E. Prepas, and P. A. Chambers. 2001. Phosphorus release from sediments in hardwater eutrophic lakes: the effects of redox-sensitive and -insensitive chemical treatments. Freshwater Biology 46:1061-1074.</t>
  </si>
  <si>
    <t>Hoffmann, C. C., C. Kjaergaard, J. Uusi-Kamppa, H. C. B. Hansen, and B. Kronvang. 2009. Phosphorus retention in riparian buffers: Review of their efficiency. Journal of Environmental Quality 38:1942-1955.</t>
  </si>
  <si>
    <t>Knox, A. K., R. A. Dahgren, K. W. Tate, and E. R. Atwill. 2008. Efficacy of natural wetlands to retain nutrient, sediment and microbial pollutants. Journal of Environmental Quality 37:1837-1846.</t>
  </si>
  <si>
    <t>Prescott, C. E., L. Vesterdal, J. Pratt, K. H. Venner, L. M. de Montigny, and J. A. Trofymow. 2000. Nutrient concentrations and nitrogen mineralization in forest floors of single species conifer plantations in coastal British Columbia. Canadian Journal of Forest Research 30:1341-1352.</t>
  </si>
  <si>
    <t>Snyder, D. T. and J. L. Morace. 1997. Nitrogen and Phosphorus Loading from Drained Wetlands Adjacent to Upper Klamath and Agency Lakes, Oregon. US Geological Survey Water Resources Investigations Report 97-4059. US Geological Survey, Fort Collins, CO.</t>
  </si>
  <si>
    <t>Walbridge, M. R. and J. A. Navaratnam. 2006. Phosphorous in boreal peatlands. Pages 231-258 in R. K. Wieder and D. H. Vitt, editors. Boreal Peatland Ecosystems, Ecological Studies, Volume 188. Springer, Berlin Heidelberg, Germany.</t>
  </si>
  <si>
    <t>Bayley, S. E. and R. L. Mewhort. 2004. Plant community structure and junctional differences between marshes and fens in the southern boreal region of Alberta, Canada. Wetlands 24:277-294.</t>
  </si>
  <si>
    <t>Van Hoewyk, D., P. M. Groffman, E. Kiviat, G. Mihocko, and G. Stevens. 2000. Soil nitrogen dynamics in organic and mineral soil calcareous wetlands in eastern New York. Soil Science Society of America Journal 64: 2168–2173.</t>
  </si>
  <si>
    <t>D'Amore, D. V., J. B. Fellman, R. T. Edwards, and E. Hood. 2010. Controls on dissolved organic matter concentrations in soils and streams from a forested wetland and sloping bog in southeast Alaska. Ecohydrology 3:249-261.</t>
  </si>
  <si>
    <t>Glenn, A. J., L. B. Flanagan, K. H. Syed, and P. J. Carlson. 2006. Comparison of net ecosystem CO2 exchange in two peatlands in western Canada with contrasting dominant vegetation, Sphagnum and Carex. Agricultural and Forest Meteorology 140:115-135.</t>
  </si>
  <si>
    <t>Gunnarsson, U. 2005. Global patterns of Sphagnum productivity. Journal of Bryology 27:269-279.</t>
  </si>
  <si>
    <t>Wardrop, D. H. and R. P. Brooks. 1998. The occurrence and impact of sedimentation in central Pennsylvania wetlands. Environmental Monitoring and Assessment 51:119-130.</t>
  </si>
  <si>
    <t>Alsfeld, A. J., J. L. Bowman, and A. Deller-Jacobs. 2009. Effects of woody debris, microtopography, and organic matter amendments on the biotic community of constructed depressional wetlands. Biological Conservation 142:247-255.</t>
  </si>
  <si>
    <t>Fellman, J. B., E. Hood, D. V. D'Amore, R. T. Edwards, and D. White. 2009. Seasonal changes in the chemical quality and biodegradability of dissolved organic matter exported from soils to streams in coastal temperate rainforest watersheds. Biogeochemistry 95:277-293.</t>
  </si>
  <si>
    <t>Booth, D. B., D. Hartley, and R. Jackson. 2002. Forest cover, impervious-surface area, and the mitigation of storm water impacts. Journal of American Water Resources Association 38:835-845.</t>
  </si>
  <si>
    <t>Hernandez, O., R. W. Merritt, and M. S. Wipfli. 2005. Benthic invertebrate community structure is influenced by forest succession after clearcut logging in southeastern Alaska. Hydrobiologia 533:45-59.</t>
  </si>
  <si>
    <t>Roy, A. H., C. L. Faust, M. C. Freeman, and J. L. Meyer. 2005. Reach-scale effects of riparian forest cover on urban stream ecosystems. Canadian Journal of Fisheries and Aquatic Sciences 62:2312-2329.</t>
  </si>
  <si>
    <t>Deniseger, J., L. J. Erickson, A. Austin, M. Roch, and M. J. R. Clark. 1990. The effects of decreasing heavy metal concentrations on the biota of Buttle Lake, Vancouver Island, British Columbia. Water Resources Bulletin 24:403-416.</t>
  </si>
  <si>
    <t>Eilers, J. M., D. H. Landers, A. D. Newell, M. E. Mitch, M. Morrison, and J. Ford. 1993. Major Ion Chemistry of Lakes on the Kenai Peninsula, Alaska. Canadian Journal of Fisheries and Aquatic Sciences 50:816-826.</t>
  </si>
  <si>
    <t>Baxter, C. V., K. D. Fausch, and W. Carl Saunders. 2005. Tangled webs: reciprocal flows of invertebrate prey link streams and riparian zones. Freshwater Biology 50:201-220.</t>
  </si>
  <si>
    <t>Campbell, E. Y., M. E. Benbow, S. D. Tiegs, J. P. Hudson, G. A. Lamberti, and R. W. Merritt. 2011. Timber harvest intensifies spawning-salmon disturbance of macroinvertebrates in southeastern Alaskan streams. Journal of the North American Benthological Society 30:49-59.</t>
  </si>
  <si>
    <t>Cannings, S. G. and R. A. Cannings. 1994. The Odonata of the northern Cordilleran peatlands of North America. Memoirs of the Entomological Society of Canada 169:89-110.</t>
  </si>
  <si>
    <t>Corcoran, R. M., J. R. Lovvorn, and P. J. Heglund. 2009. Long-term change in limnology and invertebrates in Alaskan boreal wetlands. Hydrobiologia 620:77–89.</t>
  </si>
  <si>
    <t>Fischer, J. R., M. C. Quist, S. L. Wigen, A. J. Schaefer, T. W. Stewart, and T. M. Isenhart. 2010. Assemblage and population-level responses of stream fish to riparian buffers at multiple spatial scales. Transactions of the American Fisheries Society 139:185-200.</t>
  </si>
  <si>
    <t>Frimpong, E. A., T. M. Sutton, K. J. Lim, P. J. Hrodey, B. A. Engel, T. P. Simon, J. G. Lee, and D. C. LeMaster. 2005. Determination of optimal riparian forest buffer dimensions for stream biota-landscape association models using multi metric and multi variate responses. Canadian Journal of Fisheries and Aquatic Sciences 62:1-6.</t>
  </si>
  <si>
    <t>Gregory, S. V., F. J. Swanson, W. A. McKee, and K. W. Cummins. 1991. An ecosystem perspective of riparian zones: Focus on links between land and water. Bioscience 41:540-550.</t>
  </si>
  <si>
    <t>Holmquist, J., J. Jones, J. Schmidt-Gengenbach, L. Pierotti, and J. Love. 2011. Terrestrial and Aquatic Macroinvertebrate Assemblages as a Function of Wetland Type across a Mountain Landscape. Institute of Arctic and Alpine Research, University of Colorado, Boulder, CO.</t>
  </si>
  <si>
    <t>Hoover, S. E. R., L. G. W. Shannon, and J. D. Ackerman. 2007. The effect of riparian condition on invertebrate drift in mountain streams. Aquatic Sciences 69:544-553.</t>
  </si>
  <si>
    <t>Kiffney, P. M. and J. P. Bull. 2000. Factors controlling periphyton accrual during summer in headwater streams of southwestern British Columbia, Canada. Journal of Freshwater Ecology 15:339-351.</t>
  </si>
  <si>
    <t>Kiffney, P. M., J. S. Richardson, and J. P. Bull. 2003. Responses of periphyton and insects to experimental manipulation of riparian buffer width along forest streams. Journal of Applied Ecology 40:1060-1076.</t>
  </si>
  <si>
    <t>May, C. 2003. Stream-Riparian Ecosystems In the Puget Sound Lowland Eco-Region. A Review of Best Available Science. Watershed Ecology, LLC.</t>
  </si>
  <si>
    <t>McDade, M. H., F. J. Swanson, W. A. McKee, J. F. Franklin, and J. Van Sickle. 1990. Source  distances for coarse woody debris entering small streams in western Oregon and Washington USA. Canadian Journal of Forest Research 20:326-330.</t>
  </si>
  <si>
    <t>Meleason, M. A., S. V. Gregory, and J. P. Bolte. 2003. Implications of riparian management strategies on wood in streams of the Pacific Northwest. Ecological Applications 13:1212-1221.</t>
  </si>
  <si>
    <t>Moldenke, A. R. and C. V. Linden. 2007. Effects of clearcutting and riparian buffers on the yield of adult aquatic macroinvertebrates from headwater streams. Forest Science 53:308-319.</t>
  </si>
  <si>
    <t>Moore, J. W. and D. E. Schindler. 2008. Biotic disturbance and benthic community dynamics in salmon-bearing streams. Journal of Animal Ecology 77:275-284.</t>
  </si>
  <si>
    <t>Murphy, M. 1995. Forestry Impacts on Freshwater Habitat of Anadromous Salmonids in the Pacific Northwest and Alaska – Requirements for Protection and Restoration. NOAA Coastal Ocean Program Decision Analysis Series No. 7. U.S. Department of Commerce, National Oceanic and Atmospheric Administration Coastal Ocean Office, NOAA Coastal Ocean Office, Silver Springs, MD.</t>
  </si>
  <si>
    <t>Naiman, R. J., R. E. Bilby, and P. A. Bisson. 2000. Riparian ecology and management in the Pacific Coastal Rain Forest. Bioscience 50:996-1011.</t>
  </si>
  <si>
    <t>Ober, H. K. and J. P. Hayes. 2008. Influence of forest riparian vegetation on abundance and biomass of nocturnal flying insects. Forest Ecology and Management 256:1124-1132.</t>
  </si>
  <si>
    <t>Richards, C., L. B. Johnson, and G. E. Host. 1996. Landscape-scale influences on stream habitats and biota. Canadian Journal of Fisheries and Aquatic Sciences 53:295-311.</t>
  </si>
  <si>
    <t>Richardson, J. S., R. E. Bilby, and C. A. Bondar. 2005. Organic matter dynamics in small streams of the Pacific Northwest. Journal of the American Water Resources Association 41:921-934.</t>
  </si>
  <si>
    <t>Robison, E. G. and R. L. Beschta. 1990. Identifying trees in riparian areas that can provide coarse woody debris to streams. Forest Science 36:790-801.</t>
  </si>
  <si>
    <t>Roth, B. M., I. C. Kaplan, G. G. Sass, P. T. Johnson, A. E. Marburg, A. C. Yannarell, T. D. Havlicek, T. V. Willis, M. G. Turner, and S. R. Carpenter. 2007. Linking terrestrial and aquatic ecosystems: The role of woody habitat in lake food webs. Ecological Modelling 203:439-452.</t>
  </si>
  <si>
    <t>Utz, R. M., R. H. Hilderbrand, and D. M. Boward. 2009. Identifying regional differences in threshold responses of aquatic invertebrates to land cover gradients. Ecological Indicators 9:556-567.</t>
  </si>
  <si>
    <t>Wenger, S. and L. Fowler. 2000. Protecting stream and river corridors : creating effective local riparian buffer ordinances. Carl Vinson Institute of Government, the University of Georgia, Athens, GA.</t>
  </si>
  <si>
    <t>Wipfli, M. S., J. S. Richardson, and R. J. Naiman. 2007. Ecological linkages between headwaters and downstream ecosystems: transport of organic matter, invertebrates, and wood down headwater channels. Journal of the American Water Resources Association 43:72-85.</t>
  </si>
  <si>
    <t>Burger, J. 1981. The effect of human activity on birds at a coastal bay. Biological Conservation 21:231-241.</t>
  </si>
  <si>
    <t>Epners, C. A., S. E. Bayley, J. E. Thompson, and W. M. Tonn. 2010. Influence of fish assemblage and shallow lake productivity on waterfowl communities in the Boreal Transition Zone of western Canada. Freshwater Biology 55:2265-2280.</t>
  </si>
  <si>
    <t>Klein, M. L., S. R. Humphrey, and H. F. Percival. 1995. Effects of ecotourism on distribution of waterbirds in a wildlife refuge. Conservation Biology 9:1454-1465.</t>
  </si>
  <si>
    <t>Thormann, M. N. and S. E. Bayley. 1997. Aboveground plant production and nutrient content of the vegetation in six peatlands in Alberta, Canada. Plant Ecology 131:1-16.</t>
  </si>
  <si>
    <t>Andren, H. 1994. Effects of habitat fragmentation on birds and mammals in landscapes with different proportions of suitable habitat – a review. Oikos 71:355-366.</t>
  </si>
  <si>
    <t>Aznar, J. C. and A. Desrochers. 2008. Building for the future: Abandoned beaver ponds promote bird diversity. Ecoscience 15:250-257.</t>
  </si>
  <si>
    <t>Barber, J. R., K. R. Crooks, and K. M. Fristrup. 2010. The costs of chronic noise exposure for terrestrial organisms. Trends in Ecology &amp; Evolution 25:180-189.</t>
  </si>
  <si>
    <t>Belisle, M. and A. Desrochers. 2002. Gap-crossing decisions by forest birds: an empirical basis for parameterizing spatially-explicit, individual-based models. Landscape Ecology 17:219-231.</t>
  </si>
  <si>
    <t>Benitez-Lopez, A., R. Alkemade, and P. A. Verweij. 2010. The impacts of roads and other infrastructure on mammal and bird populations: A meta-analysis. Biological Conservation 143:1307-1316.</t>
  </si>
  <si>
    <t>Chace, J. F. and J. J. Walsh. 2006. Urban effects on native avifauna: a review. Landscape and Urban Planning 74:46-69.</t>
  </si>
  <si>
    <t>Clevenger, A. P., B. Chruszczc, and K. E. Gunson. 2003. Spatial patterns and factors influencing small vertebrate fauna road-kill aggregations. Biological Conservation 109:15-26.</t>
  </si>
  <si>
    <t>Creegan, H. P. and P. E. Osborne. 2005. Gap-crossing decisions of woodland songbirds in Scotland: an experimental approach. Journal of Applied Ecology 42:678-687.</t>
  </si>
  <si>
    <t>De Santo, T. L. and M. F. Willson. 2001. Predator abundance and predation of artificial nests in natural and anthropogenic coniferous forest edges in southeast Alaska. Journal of Field Ornithology 72:136-149.</t>
  </si>
  <si>
    <t>Desrochers, A. and S. J. Hannon. 1997. Gap crossing decisions by forest songbirds during the post-fledging period. Conservation Biology 11:1204-1210.</t>
  </si>
  <si>
    <t>Desrochers, A. and G.-J. van Duinen. 2006. Peatland fauna. Pages 67-100 in R. K. Wieder and D. H. Vitt, editors. Boreal Peatland Ecosystems, Ecological Studies, Volume 188. Springer, Berlin Heidelberg, GE.</t>
  </si>
  <si>
    <t>Donnelly, R. and J. M. Marzluff. 2004. Importance of reserve size and landscape context to urban bird conservation. Conservation Biology 18:733-745.</t>
  </si>
  <si>
    <t>Drever, M. C. and K. Martin. 2010. Response of woodpeckers to changes in forest health and harvest: Implications for conservation of avian biodiversity. Forest Ecology and Management 259:958-966.</t>
  </si>
  <si>
    <t xml:space="preserve">Fahrig, L. and T. Rytwinski. 2009. Effects of roads on animal abundance: an empirical review and synthesis. Ecology and Society 14:21. http://www.ecologyandsociety.org/vol14/iss21/art21/ </t>
  </si>
  <si>
    <t>Forman, R. T. T., B. Reineking, and A. M. Hersperger. 2002. Road traffic and nearby grassland bird patterns in a suburbanizing landscape. Environmental Management 29:782-800.</t>
  </si>
  <si>
    <t>Grindal, S. D., J. L. Morissette, and R. M. Brigham. 1999. Concentration of bat activity in riparian habitats over an elevational gradient. Canadian Journal of Zoology 77:972-977.</t>
  </si>
  <si>
    <t>Grindal, S. D. and R. M. Brigham. 1999. Impacts of forest harvesting on habitat use by foraging insectivorous bats at different spatial scales. Ecoscience 6:25-34.</t>
  </si>
  <si>
    <t>Grover, A. M. and G. A. Baldassarre. 1995. Bird species richness within beaver ponds in south-central New York. Wetlands 15:108-118.</t>
  </si>
  <si>
    <t>Laurance, S., P. Stouffer, and W. Laurance. 2004. Effects of road clearings on movement patterns of understory rainforest birds in Central Amazonia. Conservation Biology 18:1099-1109.</t>
  </si>
  <si>
    <t>Lees, A. C. and C. A. Peres. 2009. Gap-crossing movements predict species occupancy in Amazonian Forest Fragments. Oikos 118:280-290.</t>
  </si>
  <si>
    <t>Martin, J. L., S. A. Stockton, S. Allombert, and A. J. Gaston. 2010. Top-down and bottom-up consequences of unchecked ungulate browsing on plant and animal diversity in temperate forests: lessons from a deer introduction. Biological Invasions 12:353-371.</t>
  </si>
  <si>
    <t>Massey, B., R. Bowen, C. Griffin, and K. McGarigal. 2008. A classification-tree analysis of nesting habitat in an island population of Northern Harriers. Condor 110:177-183.</t>
  </si>
  <si>
    <t>Mazerolle, M. J., B. Drolet, and A. Desrochers. 2001. Small-mammal responses to peat mining of southeastern Canadian bogs. Canadian Journal of Zoology 79:296-302.</t>
  </si>
  <si>
    <t>Minor, E. and D. Urban. 2010. Forest bird communities across a gradient of urban development. Urban Ecosystems 13:51-71.</t>
  </si>
  <si>
    <t>Oneal, A. S. and J. T. Rotenberry. 2009. Scale-dependent habitat relations of birds in riparian corridors in an urbanizing landscape. Landscape and Urban Planning 92:264-275.</t>
  </si>
  <si>
    <t>Ortega, Y. K. and D. E. Capen. 2002. Roads as edges: effects on birds in forested landscapes. Forest Science 48:381-390.</t>
  </si>
  <si>
    <t>Pennington, D. N. 2008. Riparian Bird Communities Along an Urban Gradient: Effects of Local Vegetation, Landscape Biophysical Heterogeneity, and Spatial Scale. Ph. D. Dissertation. University of Minnesota, Twin Cities, MN.</t>
  </si>
  <si>
    <t>Rail, J. F., M. Darveau, A. Desrochers, and J. Huot. 1997. Territorial responses of boreal forest birds to habitat gaps. Condor 99:976-980.</t>
  </si>
  <si>
    <t>Rich, A. C., D. S. Dobkin, and L. J. Niles. 1994. Defining forest fragmentation by corridor width: the influence of narrow forest-dividing corridors on forest-nesting birds in southern New Jersey. Conserv. Biology 8:1109-1121.</t>
  </si>
  <si>
    <t>Robertson, O. J. and J. Q. Radford. 2009. Gap-crossing decisions of forest birds in a fragmented landscape. Austral Ecology 34:435-446.</t>
  </si>
  <si>
    <t>Rodewald, P. G. and S. N. Matthews. 2005. Landbird use of riparian and upland forest stopover habitats in an urban landscape. The Condor 107:259-268.</t>
  </si>
  <si>
    <t>Schaub, A., J. Ostwald, and B. M. Siemers. 2008. Foraging bats avoid noise. Journal of Experimental Biology 211:3174-3180.</t>
  </si>
  <si>
    <t>Slabbekoorn, H. and E. A. P. Ripmeester. 2008. Birdsong and anthropogenic noise: implications and applications for conservation. Molecular Ecology 17:72-83.</t>
  </si>
  <si>
    <t>Smith, C. M. and D. G. Wachob. 2006. Trends associated with residential development in riparian breeding bird habitat along the Snake River in Jackson Hole, WY, USA: Implications for conservation planning. Biological Conservation 128:431-446.</t>
  </si>
  <si>
    <t>Thiemann, J. A., C. R. Webster, M. A. Jenkins, P. M. Hurley, J. H. Rock, and P. S. White. 2009. Herbaceous-layer impoverishment in a post-agricultural southern Appalachian landscape. American Midland Naturalist 162:148-168.</t>
  </si>
  <si>
    <t>Tremblay, M. A. and C. C. St. Clair. 2009. Factors affecting the permeability of transportation and riparian corridors to the movements of songbirds in an urban landscape. Journal of Applied Ecology 46:1314-1322.</t>
  </si>
  <si>
    <t>Tremblay, M. A. and C. C. St Clair. 2011. Permeability of a heterogeneous urban landscape to the movements of forest songbirds. Journal of Applied Ecology 48:679-688.</t>
  </si>
  <si>
    <t>Trombulak, S. C. and C. A. Frissell. 2000. Review of ecological effects of roads on terrestrial and aquatic communities. Conservation Biology 14:18-30.</t>
  </si>
  <si>
    <t>Vermaat, J. E., N. Vigneau, and N. Omtzigt. 2008. Viability of meta-populations of wetland birds in a fragmented landscape: testing the key-patch approach. Biodiversity and Conservation 17:2263-2273.</t>
  </si>
  <si>
    <t>Whitaker, D. M., A. L. Carroll, and W. A. Montevecchi. 2000. Elevated numbers of flying insects and insectivorous birds in riparian buffer strips. Canadian Journal of Zoology 78:740-747.</t>
  </si>
  <si>
    <t>Willson, M. F. and T. A. Comet. 1996a. Bird communities of northern forests: Patterns of diversity and abundance. Condor 98:337-349.</t>
  </si>
  <si>
    <t>Willson, M. F. and T. A. Comet. 1996b. Bird communities of northern forests: ecological correlates of diversity and abundance in the understory. Condor:350-362.</t>
  </si>
  <si>
    <t>Zmihorski, M. 2010. The effect of windthrow and its management on breeding bird communities in a managed forest. Biodiversity and Conservation 19:1871-1882.</t>
  </si>
  <si>
    <t>Most waterbirds require some unflooded shoreline for nesting, while also needing large areas of water and emergent vegetation for feeding.</t>
  </si>
  <si>
    <t>Comparing data from multiple regions, Utz et al. (2009) reported that once urbanization in a watershed reached 60%, all taxa remaining responded either neutrally or positively with respect to continued urbanization. Most were harmed at much lower levels. The importance of streamside vegetation, especially trees, for sustaining the health of aquatic systems has been documented in the Pacific Northwest (e.g., Gregory et al. 1991, Naiman et al. 2000, Richardson et al. 2005, Wipfli et al. 2007). The positive effect is partly because wood falling into streams increases channel complexity which benefits aquatic invertebrates and fish; that may not apply to wood falling into wetlands.  Trees also help maintain stream temperature and streams adjoined by natural vegetation support richer and healthier aquatic invertebrate communities (Richards et al. 1996). However, the effects of buffers and/or tree canopy closure on aquatic life in perennial streams vary, with some studies showing little effect on native fish (Roy et al. 2005, Fischer et al. 2010) and others a positive effect especially when buffer width was at least 100 ft (Frimpong et al. 2005, Horwitz et al. 2008). A 30-ft wide buffer along perennial streams in British Columbia was found to be insufficient to protect stream invertebrate communities from adverse effects of clear-cut logging, although the terrestrial insects the buffer provided were noted as a potentially important food source for fish using the streams (Hoover et al. 2007). Another study of BC perennial streams found uncut riparian buffers of at least 30 ft were needed to limit changes from clear-cut logging to aquatic life in headwater forested watersheds; those changes included increase abundance of aquatic invertebrates and algae (Kiffney et al. 2003). Increased sunlight from vegetation removal can increase stream and wetland productivity and thus the density of some invertebrate groups, where nutrients and elevation (stream temperature) are not severely limiting (Moldenke &amp; Linden 2007).</t>
  </si>
  <si>
    <t xml:space="preserve"> </t>
  </si>
  <si>
    <t>Allombert, S., S. Stockton, and J.-L. Martin. 2005. A natural experiment on the impact of overabundant deer on forest invertebrates. Conservation Biology 19:1917-1929.</t>
  </si>
  <si>
    <t>Baldwin, L. K. and G. E. Bradfield. 2007. Bryophyte responses to fragmentation in temperate coastal rainforests: a functional group approach. Biological Conservation 136:408-422.</t>
  </si>
  <si>
    <t>Bayley, S. E. and J. K. Guimond. 2008. Effects of river connectivity on marsh vegetation community structure and species richness in montane floodplain wetlands in Jasper National Park, Alberta, Canada. Ecoscience 15:377-388.</t>
  </si>
  <si>
    <t>Bayley, S. E. and J. K. Guimond. 2009. Above ground biomass and nutrient limitations in relation to river connectivity in montane floodplain marshes. Wetlands 29:1243-1254.</t>
  </si>
  <si>
    <t>Bliss, S. A. and P. H. Zedler. 1997. The germination process in vernal pools: sensitivity to environmental conditions and effects on community structure. Oecologia 113:67-73.</t>
  </si>
  <si>
    <t>Boudreault, C., Y. Bergeron, P. Drapeau, and L. M. Loopez. 2008. Edge effects on epiphytic lichens in remnant stands of managed landscapes in the eastern boreal forest of Canada. Forest Ecology and Management 255:1461-1471.</t>
  </si>
  <si>
    <t>Deal, R. L. 1997. Understory plant diversity in riparian alder-conifer stands after logging in southeast Alaska. US Dept. of Agriculture, Forest Service, Pacific Northwest Research Station, Portland, OR.</t>
  </si>
  <si>
    <t>DeGasperi, C. L., H. B. Berge, K. R. Whiting, J. J. Burkey, J. L. Cassin, and R. R. Fuerstenberg. 2009. LIinking hydrologic alteration to biological impairment in urbanizing streams of the Puget Lowland, Washington, USA. Journal of the American Water Resources Association 45:512-533.</t>
  </si>
  <si>
    <t>Ehrenfeld, J. G., B. Ravit, and K. Elgersma. 2005. Feedback in the plant-soil system. Annual Review of Environment and Resources 30:75-115.</t>
  </si>
  <si>
    <t>Gignac, L. D. and M. R. T. Dale. 2007. Effects of size, shape, and edge on vegetation in remnants of the upland boreal mixed-wood forest in agro-environments of Alberta, Canada. Canadian Journal of Botany 85:273-284.</t>
  </si>
  <si>
    <t>Hanley, T. A. and W. W. Brady. 1997. Understory species composition and production in old-growth western hemlock-Sitka spruce forests of southeastern Alaska. Canadian Journal of Botany 75:574-580.</t>
  </si>
  <si>
    <t>Heithecker, T. D. and C. B. Halpern. 2007. Edge-related gradients in microclimate in forest aggregates following structural retention harvests in western Washington. Forest Ecology and Management 248:163-173.</t>
  </si>
  <si>
    <t>Houlahan, J. E., P. A. Keddy, K. Makkay, and C. S. Findlay. 2006. The effects of adjacent land use on wetland species richness and community composition. Wetlands 26:79-96.</t>
  </si>
  <si>
    <t>Hylander, K., B. G. Jonsson, and C. Nilsson. 2002. Evaluating buffer strips along boreal streams using bryophytes as indicators. Ecological Applications 12:797-806.</t>
  </si>
  <si>
    <t>Magee, T. K. and M. E. Kentula. 2005. Response of wetland plant species to hydrologic conditions. Wetlands Ecology and Management 13:163-181.</t>
  </si>
  <si>
    <t>Malmer, N., C. Albinsson, B. M. Svensson, and B. Wallén. 2003. Interferences between Sphagnum and vascular plants: effects on plant community structure and peat formation. Oikos 100:469-482.</t>
  </si>
  <si>
    <t>Moore, T. R. 1989. Growth and net production of Sphagnum at five fen sites, subarctic eastern Canada. Canadian Journal of Botany 67:1203–1207.</t>
  </si>
  <si>
    <t>Nekola, J. C. and P. S. White. 1999. Distance decay of similarity in biogeography and ecology. Journal of Biogeography 26:867–878.</t>
  </si>
  <si>
    <t>Pollock, M. M., R. J. Naiman, and T. A. Hanley. 1998. Plant species richness in riparian wetlands - a test of biodiversity theory. Ecology 79:94-105.</t>
  </si>
  <si>
    <t>Radies, D., D. Coxson, C. Johnson, and K. Konwicki. 2009. Predicting canopy macrolichen diversity and abundance within old-growth inland temperate rainforests. Forest Ecology and Management 259:86-97.</t>
  </si>
  <si>
    <t>Rogers, D. A., T. P. Rooney, T. J. Hawbaker, V. C. Radeloff, and D. M. Waller. 2009. Paying the extinction debt in southern Wisconsin forest understories. Conservation Biology 23:1497-1506.</t>
  </si>
  <si>
    <t>Šamonil, P., K. Král, and L. Hort. 2010. The role of tree uprooting in soil formation: A critical literature review. Geoderma 157:65-79.</t>
  </si>
  <si>
    <t>Wright, J. P., C. G. Jones, and A. S. Flecker. 2002. An ecosystem engineer, the beaver, increases species richness at the landscape scale. Oecologia 132:96-101.</t>
  </si>
  <si>
    <t>Forb Cover</t>
  </si>
  <si>
    <t>Soil Texture</t>
  </si>
  <si>
    <t xml:space="preserve">Soils with a thick organic layer have the most carbon available for export. However, moderately coarse soils (silts, loams) are better-aerated, less acidic, and thus can have greater plant productivity. Very coarse soils, unless flooded regularly by rivers, tend to be nutrient-poor thus limiting plant productivity. However, their presence may indicate periodic exposure to water currents capable of exporting carbon, and coarse soils sometimes support greater plant productivity because greater inflitration can reduce the frequency of anoxic conditions that stifle productivity of some rooted plants. </t>
  </si>
  <si>
    <t>Non-vegetated Aquatic Cover</t>
  </si>
  <si>
    <t>&gt;95% of wetland or &gt;95% of  its upland edge (if any)</t>
  </si>
  <si>
    <t>5-95% of wetland or 5-95% of its upland edge (if any)</t>
  </si>
  <si>
    <t>&lt;5% of wetland and &lt;5% of its upland edge (if any)</t>
  </si>
  <si>
    <t xml:space="preserve">&gt;95% of wetland </t>
  </si>
  <si>
    <t xml:space="preserve">5-95% of wetland </t>
  </si>
  <si>
    <t xml:space="preserve">&lt;5% of wetland </t>
  </si>
  <si>
    <t xml:space="preserve">  Score the following 2 rows only if the altered inputs began within past 10 years, and only for the part of the wetland that experiences those.</t>
  </si>
  <si>
    <t>Duration of sediment inputs to the wetland</t>
  </si>
  <si>
    <t>Recentness of significant soil alteration in wetland</t>
  </si>
  <si>
    <t>Sedge Cover</t>
  </si>
  <si>
    <t>Floating Algae &amp; Duckweed</t>
  </si>
  <si>
    <t>Isolated Island</t>
  </si>
  <si>
    <t>Fish</t>
  </si>
  <si>
    <t xml:space="preserve">1-25% </t>
  </si>
  <si>
    <t xml:space="preserve">25-50% </t>
  </si>
  <si>
    <t xml:space="preserve">50-95% </t>
  </si>
  <si>
    <t xml:space="preserve">&gt;95% </t>
  </si>
  <si>
    <t>Flat Shoreline Extent</t>
  </si>
  <si>
    <t>1-25% of the AA never contains surface water.</t>
  </si>
  <si>
    <t>25-50% of the AA never contains surface water.</t>
  </si>
  <si>
    <t>Annual Water Fluctuation Range</t>
  </si>
  <si>
    <t>impervious surface, e.g., paved road, parking lot, building, exposed rock.</t>
  </si>
  <si>
    <t>Condition Choices</t>
  </si>
  <si>
    <r>
      <rPr>
        <b/>
        <sz val="10"/>
        <rFont val="Arial Narrow"/>
        <family val="2"/>
      </rPr>
      <t>likely</t>
    </r>
    <r>
      <rPr>
        <sz val="10"/>
        <rFont val="Arial Narrow"/>
        <family val="2"/>
      </rPr>
      <t xml:space="preserve"> based on known occurrence in the region and proximity to suitable habitat, which may include: (a) a persistent freshwater wetland, pond, or lake, or a perennial low or mid-gradient (&lt;10%) channel, and (b) a corridor or multiple stands of hardwood trees and shrubs in vegetated areas near surface water.</t>
    </r>
  </si>
  <si>
    <t>Use of the AA by beaver during the past 5 years is (select most applicable ONE):</t>
  </si>
  <si>
    <r>
      <rPr>
        <b/>
        <sz val="10"/>
        <rFont val="Arial Narrow"/>
        <family val="2"/>
      </rPr>
      <t xml:space="preserve">evident </t>
    </r>
    <r>
      <rPr>
        <sz val="10"/>
        <rFont val="Arial Narrow"/>
        <family val="2"/>
      </rPr>
      <t>from direct observation or presence of gnawed limbs, dams, tracks, dens, lodges, or extensive stands of water-killed trees (snags).</t>
    </r>
  </si>
  <si>
    <t>Accelerated Inputs of Contaminants and/or Salts</t>
  </si>
  <si>
    <t>Accelerated Inputs of Nutrients</t>
  </si>
  <si>
    <t>Type of loading</t>
  </si>
  <si>
    <t>moderate density septic, cropland, secondary wastewater treatment plant</t>
  </si>
  <si>
    <t>livestock, pets, low density residential</t>
  </si>
  <si>
    <t>Plants are more productive at warmer soil or sediment temperatures, and this supports higher productivity of aquatic insects.</t>
  </si>
  <si>
    <t>Places with a warmer mean annual temperature may provide opportunity for a greater variety of plant species to colonize substrates that are ice-free for longer during the year.</t>
  </si>
  <si>
    <t>SatPct3</t>
  </si>
  <si>
    <t>SatPct4</t>
  </si>
  <si>
    <t>Stressor Subscore=</t>
  </si>
  <si>
    <t>The larvae of many wetland invertebrates require surface water, so the absence or scarcity of that limits aquatic invertebrate richness.</t>
  </si>
  <si>
    <t>The frequency of most recreational visits declines with increasing distance from roads.</t>
  </si>
  <si>
    <t>OpenPonded7</t>
  </si>
  <si>
    <t>Interspers2</t>
  </si>
  <si>
    <t>PondedPct6</t>
  </si>
  <si>
    <t>Lack of physical barriers, provision of trails, and interpretive signs encourage greater public use of areas. However, some apparent barriers (e.g., deep water, dense brush) may be barriers only to summer recreation; frozen wetlands may enjoy considerable wintertime use.</t>
  </si>
  <si>
    <t>Interspers3</t>
  </si>
  <si>
    <t>Algae3</t>
  </si>
  <si>
    <t>Wettype6</t>
  </si>
  <si>
    <t>Interspers6</t>
  </si>
  <si>
    <t>DepthDiv8</t>
  </si>
  <si>
    <t>HerbDiv8</t>
  </si>
  <si>
    <r>
      <t>Burger, J. and M. Gochfeld. 1991. Human activity influence and diurnal and nocturnal foraging of sanderlings (</t>
    </r>
    <r>
      <rPr>
        <i/>
        <sz val="10"/>
        <rFont val="Arial Narrow"/>
        <family val="2"/>
      </rPr>
      <t>Calidris alba</t>
    </r>
    <r>
      <rPr>
        <sz val="10"/>
        <rFont val="Arial Narrow"/>
        <family val="2"/>
      </rPr>
      <t>). Condor 93:259-265.</t>
    </r>
  </si>
  <si>
    <r>
      <t>Hood, G. A. and S. E. Bayley. 2008. Beaver (</t>
    </r>
    <r>
      <rPr>
        <i/>
        <sz val="10"/>
        <rFont val="Arial Narrow"/>
        <family val="2"/>
      </rPr>
      <t>Castor canadensis</t>
    </r>
    <r>
      <rPr>
        <sz val="10"/>
        <rFont val="Arial Narrow"/>
        <family val="2"/>
      </rPr>
      <t>) mitigate the effects of climate on the area of open water in boreal wetlands in western Canada. Biological Conservation 141:556-567.</t>
    </r>
  </si>
  <si>
    <t xml:space="preserve">Within or near the AA, there is an interpretive center, trails with interpretive signs or brochures, and/or regular guided interpretive tours. </t>
  </si>
  <si>
    <t>Most of the AA is (select one):</t>
  </si>
  <si>
    <t>The gradient along most of the flow path within the AA is:</t>
  </si>
  <si>
    <t>BMP - Soils</t>
  </si>
  <si>
    <t>BMP - Wildlife Protection</t>
  </si>
  <si>
    <t>BMPsoilsPU</t>
  </si>
  <si>
    <t>BMPwildPU</t>
  </si>
  <si>
    <t xml:space="preserve">Fences, observation blinds, platforms, paved trails, exclusion periods, and/or well-enforced prohibitions on motorized boats, off-leash pets, and off road vehicles appear to effectively exclude or divert visitors and their pets from the AA at critical times in order to minimize disturbance of wildlife (except during hunting seasons).  Enter "1" if true. </t>
  </si>
  <si>
    <t>BMPsoils20</t>
  </si>
  <si>
    <t>Calmé, S. and A. Desrochers. 2000. Biogeographic aspects of the distribution of bird species breeding in Québec’s peatlands. Journal of Biogeography 27: 725–732.</t>
  </si>
  <si>
    <t>Bakker, V. J. and D. H. Van Vuren. 2004. Gap‐crossing decisions by the red squirrel, a forest‐dependent small mammal. Conservation Biology 18:689-697.</t>
  </si>
  <si>
    <t>Woody13</t>
  </si>
  <si>
    <r>
      <t xml:space="preserve">% with </t>
    </r>
    <r>
      <rPr>
        <b/>
        <sz val="10"/>
        <rFont val="Arial Narrow"/>
        <family val="2"/>
      </rPr>
      <t>Persistent</t>
    </r>
    <r>
      <rPr>
        <sz val="10"/>
        <rFont val="Arial Narrow"/>
        <family val="2"/>
      </rPr>
      <t xml:space="preserve"> Surface Water</t>
    </r>
  </si>
  <si>
    <r>
      <t xml:space="preserve">% Flooded </t>
    </r>
    <r>
      <rPr>
        <b/>
        <sz val="10"/>
        <rFont val="Arial Narrow"/>
        <family val="2"/>
      </rPr>
      <t xml:space="preserve">Only </t>
    </r>
    <r>
      <rPr>
        <sz val="10"/>
        <rFont val="Arial Narrow"/>
        <family val="2"/>
      </rPr>
      <t>Seasonally</t>
    </r>
  </si>
  <si>
    <t>50-99% of the AA never contains surface water.</t>
  </si>
  <si>
    <t>Island13</t>
  </si>
  <si>
    <t>Fish11</t>
  </si>
  <si>
    <t>Fish10</t>
  </si>
  <si>
    <t>Fish13</t>
  </si>
  <si>
    <t>PondPct4</t>
  </si>
  <si>
    <t>Water Storage &amp; Delay</t>
  </si>
  <si>
    <t>WS</t>
  </si>
  <si>
    <t>WC</t>
  </si>
  <si>
    <t>The effectiveness for intercepting and filtering suspended inorganic sediments, thus allowing their deposition, as well as reducing energy of waves and currents, resisting excessive erosion, and stabilizing underlying sediments or soil.</t>
  </si>
  <si>
    <t>SR</t>
  </si>
  <si>
    <t>Phosphorus Retention</t>
  </si>
  <si>
    <t>PR</t>
  </si>
  <si>
    <t>NR</t>
  </si>
  <si>
    <t>OE</t>
  </si>
  <si>
    <t>INV</t>
  </si>
  <si>
    <t>Amphibian Habitat</t>
  </si>
  <si>
    <t>AM</t>
  </si>
  <si>
    <t>WB</t>
  </si>
  <si>
    <t>SBM</t>
  </si>
  <si>
    <t>Prior designation of the wetland, by a natural resource or environmental protection agency, as some type of special protected area.  Also, the potential and actual use of a wetland for low-intensity outdoor recreation, education, or research.</t>
  </si>
  <si>
    <t>PH</t>
  </si>
  <si>
    <t>The effectiveness for contributing water to streams during the driest part of a growing season.</t>
  </si>
  <si>
    <t>SFS</t>
  </si>
  <si>
    <t xml:space="preserve">The effectiveness for producing and subsequently exporting organic matter, either particulate or dissolved, along with associated compounds and elements such as iron.
</t>
  </si>
  <si>
    <t>The capacity to support or contribute to an abundance or diversity of native frogs, toads, and salamanders.</t>
  </si>
  <si>
    <t xml:space="preserve">The capacity to support or contribute to an abundance or diversity of invertebrate animals which spend all or part of their life cycle underwater or in moist soil.  Includes dragonflies, midges, clams, snails, water beetles, shrimp, aquatic worms, and others.
</t>
  </si>
  <si>
    <t>The capacity to support or contribute to an abundance or diversity of native songbird, raptor, and mammal species and functional groups, especially those that are most dependent on wetlands or water.</t>
  </si>
  <si>
    <t>Stream Flow Support</t>
  </si>
  <si>
    <t>Fissore, C., Giardina, C. P., Kolka, R. K., and Trettin, C. C. 2009. Soil organic carbon quality in forested mineral wetlands at different mean annual temperature. Soil Biology and Biochemistry 41(3):458-466.</t>
  </si>
  <si>
    <t>Fyles, J. W. and I. H. Fyles. 1993. Interaction of Douglas-fir with red alder and salal foliage litter during decomposition. Canadian Journal of Forest Research 23:358-361.</t>
  </si>
  <si>
    <t>Pacific, V. J., K. G. Jensco, and B. L. McGlynn. 2010. Variable flushing mechanisms and landscape structure control stream DOC export during snowmelt in a set of nested catchments. Biogeochemistry 99:193-211.</t>
  </si>
  <si>
    <t>Coarse: includes sand, loamy sand, gravel, cobble, stones, boulders, fluvents, fluvaquents, riverwash.</t>
  </si>
  <si>
    <t>Fines: includes silt, glacial flour, clay, clay loam, silty clay, silty clay loam, sandy clay, sandy clay loam.</t>
  </si>
  <si>
    <t>Large variation in elevations within a wetland suggest greater potential for trapping and retaining snow and other precipitation, sufficiently long to allow infiltration or evaporation.  Rough surfaces also allow for more runoff interception and infiltration.</t>
  </si>
  <si>
    <t>Bunn, S. and A. Arthington. 2002. Basic principles and ecological consequences of altered flow regimes for aquatic biodiversity. Environmental Management 30:492–507.</t>
  </si>
  <si>
    <t>Shepherd, P. C. F. and D. B. Lank. 2004. Marine and agricultural habitat preferences of dunlin wintering in British Columbia. Journal of Wildlife Management 68:61-73.</t>
  </si>
  <si>
    <r>
      <t>Sprague, A. J., D. J. Hamilton, and A. W. Diamond. 2008. Site safety and food affect movements of Semipalmated Sandpipers (</t>
    </r>
    <r>
      <rPr>
        <i/>
        <sz val="10"/>
        <rFont val="Arial Narrow"/>
        <family val="2"/>
      </rPr>
      <t>Calidris pusilla</t>
    </r>
    <r>
      <rPr>
        <sz val="10"/>
        <rFont val="Arial Narrow"/>
        <family val="2"/>
      </rPr>
      <t>) migrating through the upper Bay of Fundy. Avian Conservation and Ecology 3:1-22.</t>
    </r>
  </si>
  <si>
    <t>Lokemoen, J. T. and R. O. Woodward. 1992. Nesting waterfowl and water birds on natural islands in the Dakotas and Montana. Wildlife Society Bulletin 20:163-171.</t>
  </si>
  <si>
    <t>Bella, E. M. 2011. Invasion prediction on Alaska trails: Distribution, habitat, and trail use. Invasive Plant Science and Management 4(3): 296-305.</t>
  </si>
  <si>
    <t>Intermediate (1 - 10% of vegetated part of the AA).</t>
  </si>
  <si>
    <t>Many (e.g., wetland-upland "mosaic", &gt;10% of the vegetated AA).</t>
  </si>
  <si>
    <t>Most songbirds prefer to nest in drier parts of wetlands because ground cover and vegetation height, which provide essential structure, tend to be greater there.</t>
  </si>
  <si>
    <t>1-25% of the shrub plus ground cover, in the AA or along its water edge (whichever has more).</t>
  </si>
  <si>
    <t>25-50% of the shrub plus ground cover, in the AA or along its water edge (whichever has more).</t>
  </si>
  <si>
    <t>50-75% of the shrub plus ground cover, in the AA or along its water edge (whichever has more).</t>
  </si>
  <si>
    <t>&gt;75% of the shrub plus ground cover, in the AA or along its water edge (whichever has more).</t>
  </si>
  <si>
    <t>5-30% of the ponded water.</t>
  </si>
  <si>
    <t>30-70% of the ponded water.</t>
  </si>
  <si>
    <t>70-99% of the ponded water.</t>
  </si>
  <si>
    <t>Wright, J. P., A. S. Flecker, and C. G. Jones. 2003. Local versus landscape controls on plant species richness in beaver meadows. Ecology 84:3162–3173.</t>
  </si>
  <si>
    <t>Groundwater: Strength of Evidence</t>
  </si>
  <si>
    <r>
      <t xml:space="preserve">The AA contains or adjoins a </t>
    </r>
    <r>
      <rPr>
        <b/>
        <sz val="10"/>
        <rFont val="Arial Narrow"/>
        <family val="2"/>
      </rPr>
      <t xml:space="preserve">public </t>
    </r>
    <r>
      <rPr>
        <sz val="10"/>
        <rFont val="Arial Narrow"/>
        <family val="2"/>
      </rPr>
      <t>boat dock or ramp, or is within 1 km of a campground, picnic area, or winter sports park.</t>
    </r>
  </si>
  <si>
    <t>Boardwalks, paved trails, fences or other infrastructure and/or well-enforced regulations appear to effectively prevent visitors from walking on soils within nearly all of the AA when they are unfrozen.  Enter "1" if true.</t>
  </si>
  <si>
    <t>Wetland Type - Predominant</t>
  </si>
  <si>
    <t>50 - 100 m</t>
  </si>
  <si>
    <t xml:space="preserve">Plants are more productive at warmer soil or sediment temperatures, and this supports higher productivity of aquatic insects and ultimately resident fish. </t>
  </si>
  <si>
    <t>Risk of winterkill by long-duration ice cover also may be less in warmer parts of the region.</t>
  </si>
  <si>
    <t>Shade10</t>
  </si>
  <si>
    <t>Amphibians do not physiologically regulate their body temperature.  Thus in boreal regions their populations are likely to be more productive (and have greater survival) in warmer parts of the region.</t>
  </si>
  <si>
    <t>BuffNatPct11</t>
  </si>
  <si>
    <t>BuffNatPct8</t>
  </si>
  <si>
    <t>TreeTypes14</t>
  </si>
  <si>
    <t xml:space="preserve">Roads and/or traffic are a significant barrier to dispersing amphibians (Mader 1984, Fahrig et al. 1995, and see review by Fahrig &amp; Rytwinski 2009).  In Ontario (Eigenbrod 2008a) and Virginia (Marsh 2007), “accessible habitat” -- defined as the habitat available to pond-dwelling amphibians without individuals needing to cross a major road -- was a better predictor of amphibian species richness than simply the amount of habitat within some distance of breeding ponds (Eigenbrod 2008b).  Narrow roads gated to exclude traffic were crossed more often than roads with traffic by terrestrial salamanders in Virginia (Marsh 2007).  Remarkably, even some narrow logging roads that had long been abandoned continued to impair movements and densities of salamanders in North Carolina; the road effect appeared to extend about 115 ft into the adjoining woods on both sides of the road (Semlitsch et al. 2007). </t>
  </si>
  <si>
    <t>Frequently Visited Area</t>
  </si>
  <si>
    <t xml:space="preserve">Unvisited Core Area </t>
  </si>
  <si>
    <t xml:space="preserve">Soil or sediment texture, and especially clay content of soil, is one of the most important predictors of phosphorus retention. Excessive organic matter buildup in soils can inhibit plant germination and growth by acidifying the soil, which restricts nutrient availability and thus plant capacity to take up and retain phosphorus (Prescott et al. 2000). However, phosphorus can also form complexes with soil organic matter and thus be retained.  </t>
  </si>
  <si>
    <t>Plants are most productive at warmer soil or sediment temperatures, and their foliage that contributes organic matter to downslope food chains decomposes most rapidly under warmer conditions (Fissore et al. 2009). Those conditions are described by increasing mean annual temperature. As soil temperatures increase, so does the concentration of DOC in forested wetland soils and streams, and in that form carbon is readily exported (D’Amore et al. 2010). The production of Sphagnum moss, a dominant species in many bogs and slope wetlands, is greater in warmer areas (Gunnarsson 2005).</t>
  </si>
  <si>
    <t xml:space="preserve">100% of the ponded water. </t>
  </si>
  <si>
    <t>10 cm - 50 cm change</t>
  </si>
  <si>
    <t>0.5 - 1 m change</t>
  </si>
  <si>
    <t>1-2 m change</t>
  </si>
  <si>
    <t>&gt;2 m change</t>
  </si>
  <si>
    <t>&gt;2 m deep.  True for many fringe wetlands.</t>
  </si>
  <si>
    <t>&lt;1 m</t>
  </si>
  <si>
    <t>1 - 9 m</t>
  </si>
  <si>
    <t>10 - 29 m</t>
  </si>
  <si>
    <t>30 - 49 m</t>
  </si>
  <si>
    <t>&gt; 100 m</t>
  </si>
  <si>
    <t>none, or &lt;100 sq. m within the AA.</t>
  </si>
  <si>
    <t>1000 – 10,000 sq. m within the AA.</t>
  </si>
  <si>
    <t>100-1000 sq. m within the AA.</t>
  </si>
  <si>
    <t>&gt;10,000 sq. m within the AA.</t>
  </si>
  <si>
    <t>Maintained roads, parking areas, or foot-trails are within 10 m of the AA, or the AA can be accessed part of the year by boats arriving via contiguous waters.</t>
  </si>
  <si>
    <t>The AA borders a body of ponded open water whose size -- not counting the vegetated AA -- exceeds 8 hectares (about 300 x 300 m) during most of the growing season.  Enter "1" if true, "0" if false.</t>
  </si>
  <si>
    <t>0 - 15 m</t>
  </si>
  <si>
    <t>15-100 m or in groundwater</t>
  </si>
  <si>
    <t>industrial effluent, metals mine, or AA is cropped (&amp; sprayed) annually</t>
  </si>
  <si>
    <t>crops in catchment but not in AA, fossil fuel extraction or pipeline, power station</t>
  </si>
  <si>
    <t>mildly impacting (e.g., residential/ commercial)</t>
  </si>
  <si>
    <t>in more distant part of contributing area</t>
  </si>
  <si>
    <t xml:space="preserve">  pesticides, as applied to lawns, croplands, roadsides, or other areas in the CA</t>
  </si>
  <si>
    <t xml:space="preserve">  artificial drainage or erosion of contaminated or saline soils</t>
  </si>
  <si>
    <t>0 - 15 m, or farther but on steep erodible slopes</t>
  </si>
  <si>
    <t>SeasPct1</t>
  </si>
  <si>
    <t>Fluctua1</t>
  </si>
  <si>
    <t>IsoDry1</t>
  </si>
  <si>
    <t>ThruFlo1</t>
  </si>
  <si>
    <t>OutDura1</t>
  </si>
  <si>
    <t>Constric1</t>
  </si>
  <si>
    <t>Groundw1</t>
  </si>
  <si>
    <t>Gradient1</t>
  </si>
  <si>
    <t>Girreg1</t>
  </si>
  <si>
    <t>SoilTex1</t>
  </si>
  <si>
    <r>
      <t>Murphy, M. L., J. Heifetz, J. F. Thedinga, S. W. Johnson, and K. V. Koski. 1989. Habitat utilization by juvenile pacific salmon (</t>
    </r>
    <r>
      <rPr>
        <i/>
        <sz val="10"/>
        <rFont val="Arial Narrow"/>
        <family val="2"/>
      </rPr>
      <t>Onchorynchus</t>
    </r>
    <r>
      <rPr>
        <sz val="10"/>
        <rFont val="Arial Narrow"/>
        <family val="2"/>
      </rPr>
      <t>) in the glacial Taku River, Southeast Alaska. Canadian Journal of Fisheries and Aquatic Sciences 46:1677-1685.</t>
    </r>
  </si>
  <si>
    <r>
      <t>Collen, P. and R. J. Gibson. 2001. The general ecology of beavers (</t>
    </r>
    <r>
      <rPr>
        <i/>
        <sz val="10"/>
        <rFont val="Arial Narrow"/>
        <family val="2"/>
      </rPr>
      <t xml:space="preserve">Castor </t>
    </r>
    <r>
      <rPr>
        <sz val="10"/>
        <rFont val="Arial Narrow"/>
        <family val="2"/>
      </rPr>
      <t>spp.), as related to their influence on stream ecosystems and riparian habitats, and the subsequent effects on fish – a review. Reviews in Fish Biology and Fisheries 10:439–461.</t>
    </r>
  </si>
  <si>
    <t>Neither of above is true, although some groundwater may discharge to or flow through the AA.  Or groundwater influx is unknown.</t>
  </si>
  <si>
    <r>
      <t xml:space="preserve">&lt;2%, </t>
    </r>
    <r>
      <rPr>
        <b/>
        <sz val="10"/>
        <rFont val="Arial Narrow"/>
        <family val="2"/>
      </rPr>
      <t>or,</t>
    </r>
    <r>
      <rPr>
        <sz val="10"/>
        <rFont val="Arial Narrow"/>
        <family val="2"/>
      </rPr>
      <t xml:space="preserve"> no slope is ever apparent (i.e., flat). Or, the wetland is in a depression or pond with no inlet and no outlet.</t>
    </r>
  </si>
  <si>
    <t>Determine which two native herbaceous (forb and graminoid) species comprise the greatest portion of the herbaceous cover that is unshaded by a woody canopy.  Then choose one of the following:</t>
  </si>
  <si>
    <t>Weed Source Along Edge</t>
  </si>
  <si>
    <t>infrequent &amp; mainly during scattered or one-time events</t>
  </si>
  <si>
    <t>Invasive species are present in more than trace amounts, but comprise &lt;5% of herbaceous cover (or woody cover, if the invasives are woody).</t>
  </si>
  <si>
    <t xml:space="preserve">   flow regulation in tributaries or water level regulation in adjoining water body, or other control structure at water entry points that regulates inflow to the wetland</t>
  </si>
  <si>
    <t>high density of unmaintained septic, confined feedlot operation</t>
  </si>
  <si>
    <t>15-100 m</t>
  </si>
  <si>
    <t>The closest wells or water bodies that currently provide drinking water are:</t>
  </si>
  <si>
    <r>
      <t>unlikely</t>
    </r>
    <r>
      <rPr>
        <sz val="10"/>
        <rFont val="Arial Narrow"/>
        <family val="2"/>
      </rPr>
      <t xml:space="preserve"> because site characteristics above are deficient, and/or this is a settled area or other area where beaver are routinely removed.  But beaver occur in this part of the region (i.e., within 25 km).</t>
    </r>
  </si>
  <si>
    <t>100-500 m away</t>
  </si>
  <si>
    <t>&gt;500 m away, or no information</t>
  </si>
  <si>
    <t xml:space="preserve">Select first applicable choice. </t>
  </si>
  <si>
    <t>Extraction of surface water without noticeably affecting surface water area, depth, or persistence.</t>
  </si>
  <si>
    <t>Slightly bare ground (5-20% bare between plants) is visible in places, but those areas comprise less than 5% of the unflooded parts of the AA.</t>
  </si>
  <si>
    <t>Not applicable.  Surface water (either open or obscured by emergent plants) covers all of the AA all the time.</t>
  </si>
  <si>
    <t>Waterbird Habitat</t>
  </si>
  <si>
    <t>The capacity to support or contribute to an abundance or diversity of waterbirds that nest or migrate through the region.</t>
  </si>
  <si>
    <t>Waterbird Habitat (WB)</t>
  </si>
  <si>
    <t>Fish Habitat</t>
  </si>
  <si>
    <t>Interspersion of woody cover with food-rich openings of herbaceous vegetation provides greater feeding opportunities for many songbirds and mammals, and is a natural phenomenon caused by windthrow and other factors in forested wetlands. Excessive gap frequencies and areas (i.e., forest fragmentation) and lack of corridors that connect forested wetlands with upland forests can be detrimental to some species if the remaining forested patches are very small.</t>
  </si>
  <si>
    <t xml:space="preserve">Large habitat patches usually support more plant species. Depending on their shape, forest patches sized about 10 acres or larger may provide habitat capable of sustaining a diverse array of bryophyte functional groups (Baldwin &amp; Bradfield 2007). A leveling off of the plant species-area accumulation curve in Alberta forests appeared at a forest patch size of about 27 acres (Gignac &amp; Dale 2007). Blocks of forest smaller than about 9 acres may be less capable of supporting the expected array of mosses in British Columbia (Baldwin &amp; Bradfield 2007), although a study in Washington found that forest patches as small as 2.5 acres, if not narrow, may be large enough to have a microclimate supportive of most plants and animals (Heithecker &amp; Halperin 2007). </t>
  </si>
  <si>
    <t>Wetland Types - Subordinate</t>
  </si>
  <si>
    <t>&lt;5% of the water is shaded, or no surface water is present then.</t>
  </si>
  <si>
    <t>Depth Classes - Evenness of Proportions</t>
  </si>
  <si>
    <t>Extensive</t>
  </si>
  <si>
    <t>Channel Connection &amp; Outflow Duration</t>
  </si>
  <si>
    <t>mostly passes through a pipe, culvert, narrowly breached dike, berm, beaver dam, or other partial obstruction (other than natural topography) that does not appear to drain the wetland artificially during most of the growing season.</t>
  </si>
  <si>
    <t>Herbaceous - Percent of Vegetated Wetland</t>
  </si>
  <si>
    <t>5-25% of the vegetated AA.</t>
  </si>
  <si>
    <t>25-50% of the vegetated AA.</t>
  </si>
  <si>
    <t>50-95% of the vegetated AA.</t>
  </si>
  <si>
    <t>&gt;95% of the vegetated AA.</t>
  </si>
  <si>
    <t>Invasive Plant Cover</t>
  </si>
  <si>
    <t xml:space="preserve">Cliffs, Steep Banks, or Salt Lick </t>
  </si>
  <si>
    <t>In the AA or within 100 m, there is a known salt lick, or elevated terrestrial features such as cliffs, talus slopes, stream banks, or excavated pits (but not riprap) that extend at least 2 m nearly vertically, are unvegetated, and potentially contain crevices or other substrate suitable for nesting or den areas.  Enter 1 (yes) or 0 (no).</t>
  </si>
  <si>
    <t>OpenPct1</t>
  </si>
  <si>
    <t>AllWoody1</t>
  </si>
  <si>
    <t>WclassDom7</t>
  </si>
  <si>
    <t>Salin3</t>
  </si>
  <si>
    <t>Shade6</t>
  </si>
  <si>
    <t>Moss6</t>
  </si>
  <si>
    <t>Fringe10</t>
  </si>
  <si>
    <t>Toxic8</t>
  </si>
  <si>
    <t>Stain8</t>
  </si>
  <si>
    <t>Beaver Probability</t>
  </si>
  <si>
    <t>Beaver11</t>
  </si>
  <si>
    <t xml:space="preserve">Dominance of Most Abundant Herbaceous Species </t>
  </si>
  <si>
    <t xml:space="preserve">Dominance of Most Abundant Shrub Species </t>
  </si>
  <si>
    <t>Human Use &amp; Recognition (HU)</t>
  </si>
  <si>
    <t>WetArea</t>
  </si>
  <si>
    <t>WetVegArea</t>
  </si>
  <si>
    <t>WetPerim2Area</t>
  </si>
  <si>
    <t>Wetland Density Within 1km</t>
  </si>
  <si>
    <t>Wetland Density Within 1km (excluding those with no open water)</t>
  </si>
  <si>
    <t>Wetland Density Within 1km (excluding bogs)</t>
  </si>
  <si>
    <t>WetDens1k</t>
  </si>
  <si>
    <t>WetDens1k_NoBog</t>
  </si>
  <si>
    <t>Growing Degree Days</t>
  </si>
  <si>
    <t>PPET</t>
  </si>
  <si>
    <t>Subzero Days</t>
  </si>
  <si>
    <t>WindSumm</t>
  </si>
  <si>
    <t>Groundwater Discharge Area or Spring</t>
  </si>
  <si>
    <t>GWDspring</t>
  </si>
  <si>
    <t>Riparian or Floodway Location</t>
  </si>
  <si>
    <t>ElevPctileHUC8</t>
  </si>
  <si>
    <t>Fringe</t>
  </si>
  <si>
    <t>Distance to Nearest Well-settled Area</t>
  </si>
  <si>
    <t>DistPop</t>
  </si>
  <si>
    <t>Distance to Nearest Road (from Wetland Edge)</t>
  </si>
  <si>
    <t>FishPres</t>
  </si>
  <si>
    <t>Key Wildlife Biodiversity Zone</t>
  </si>
  <si>
    <t>Important Bird Area</t>
  </si>
  <si>
    <t xml:space="preserve">Ecological Reserve or Natural Area </t>
  </si>
  <si>
    <t>The effectiveness for storing runoff or delaying the downgradient movement of surface water for long or short periods.</t>
  </si>
  <si>
    <t>Sensitive Raptor Nesting Area</t>
  </si>
  <si>
    <t>Trumpeter Swan Area</t>
  </si>
  <si>
    <t>Within Range of a Sensitive Amphibian</t>
  </si>
  <si>
    <t>FH</t>
  </si>
  <si>
    <t>Wetland Class Richness Within 1km</t>
  </si>
  <si>
    <t>ClassRichIn</t>
  </si>
  <si>
    <t>UndevOpenL1k</t>
  </si>
  <si>
    <t>NatCov1k</t>
  </si>
  <si>
    <t>RdDens1k</t>
  </si>
  <si>
    <t>Sub0Days</t>
  </si>
  <si>
    <t>BioDivZone</t>
  </si>
  <si>
    <t>Reserve</t>
  </si>
  <si>
    <t>RaptorNest</t>
  </si>
  <si>
    <t>RareBirdUse</t>
  </si>
  <si>
    <t>TrumSwan</t>
  </si>
  <si>
    <t>SensAm</t>
  </si>
  <si>
    <t>Lake</t>
  </si>
  <si>
    <t>RipFloodpl</t>
  </si>
  <si>
    <t>GrowDD</t>
  </si>
  <si>
    <t>IBirdArea</t>
  </si>
  <si>
    <t>Climate Moisture Surplus (P-PET)</t>
  </si>
  <si>
    <t>Function Indicators from Estimator</t>
  </si>
  <si>
    <t>In boreal Alberta, both breeding and molting waterfowl densities increase with lake productivity, even in eutrophic and hypereutrophic lakes (Epners et al. 2010).</t>
  </si>
  <si>
    <t>WetDens1k_OW</t>
  </si>
  <si>
    <r>
      <t>Bosschieter, L. and P. W. Goedhart. 2005. Gap crossing decisions by reed warblers (</t>
    </r>
    <r>
      <rPr>
        <i/>
        <sz val="10"/>
        <rFont val="Arial Narrow"/>
        <family val="2"/>
        <scheme val="minor"/>
      </rPr>
      <t>Acrocephalus scirpaceus</t>
    </r>
    <r>
      <rPr>
        <sz val="10"/>
        <rFont val="Arial Narrow"/>
        <family val="2"/>
        <scheme val="minor"/>
      </rPr>
      <t>) in agricultural landscapes. Landscape Ecology 20:455–468.</t>
    </r>
  </si>
  <si>
    <t>Fish Habitat (FH)</t>
  </si>
  <si>
    <t>Water Cooling</t>
  </si>
  <si>
    <t>The effectiveness for maintaining or reducing temperature of downgradient waters.</t>
  </si>
  <si>
    <t>Categorical Choices</t>
  </si>
  <si>
    <t>Function Indicators from Onsite Visit</t>
  </si>
  <si>
    <t>Normalised Score</t>
  </si>
  <si>
    <t>Surface Storage Capacity [STORE]</t>
  </si>
  <si>
    <t>Flow Resistance &amp; Delay [RESIST]</t>
  </si>
  <si>
    <t>Shading [SHADE]</t>
  </si>
  <si>
    <t>Groundwater Input [GWin]</t>
  </si>
  <si>
    <t>Export [OUT]</t>
  </si>
  <si>
    <t>SoilAlt2</t>
  </si>
  <si>
    <t>Entrainment and Storage [TRAP]</t>
  </si>
  <si>
    <t>SoilAlt3</t>
  </si>
  <si>
    <t>Adsorption [ADSORB]</t>
  </si>
  <si>
    <t>Sedimentation [SEDTRAP]</t>
  </si>
  <si>
    <t>OpenWpct3</t>
  </si>
  <si>
    <t>Denitrification: Temperature Control [Temp]</t>
  </si>
  <si>
    <t>Nitrification- Denitrification:  Redox [Redox]</t>
  </si>
  <si>
    <t>Processing Time [Delay]</t>
  </si>
  <si>
    <t>Organic Matter Stock [Cstock]</t>
  </si>
  <si>
    <t>Decomposition and Mobility [LabileC]</t>
  </si>
  <si>
    <t>Nitrogen Removal</t>
  </si>
  <si>
    <t>Sediment Retention</t>
  </si>
  <si>
    <t>Organic Nutrient Export</t>
  </si>
  <si>
    <t>Fluctu6</t>
  </si>
  <si>
    <t>Export [OutC]</t>
  </si>
  <si>
    <t>Toxic10</t>
  </si>
  <si>
    <t>Productivity [CfixF]</t>
  </si>
  <si>
    <t>Water Permanence [Water]</t>
  </si>
  <si>
    <t>Habitat Structure [HabStrucF]</t>
  </si>
  <si>
    <t>Moss8</t>
  </si>
  <si>
    <t>VegIntersp8</t>
  </si>
  <si>
    <t>Aquatic Invertebrate Habitat</t>
  </si>
  <si>
    <t>Fluctu8</t>
  </si>
  <si>
    <t>Hydrologic Environment [WaterI]</t>
  </si>
  <si>
    <t>Aquatic Habitat Structure [HabStrucI]</t>
  </si>
  <si>
    <t>Primary Productivity [CfixI]</t>
  </si>
  <si>
    <t>Salin11</t>
  </si>
  <si>
    <t>Aquatic Habitat Structure [HabStrucA]</t>
  </si>
  <si>
    <t>Aquatic Productivity [CfixA]</t>
  </si>
  <si>
    <t>Stressors (or lack of)  [Stress I]</t>
  </si>
  <si>
    <t>SBhab13</t>
  </si>
  <si>
    <t xml:space="preserve">A wetland-dependent Alberta bird -- common yellowthroat -- occurs most frequently when &gt;20% of the land cover within 1 km contains suitable wetlands, and a bird species that uses wooded wetlands regularly -- American redstart -- occurs most frequently when &gt;30% of the land cover within 2 km contains suitable habitat (Betts et al. 2007).  </t>
  </si>
  <si>
    <t>Wettype14</t>
  </si>
  <si>
    <t>PondedOWpct14</t>
  </si>
  <si>
    <t>ForbCov14</t>
  </si>
  <si>
    <t>HerbDom14</t>
  </si>
  <si>
    <t>Habitat Structure [HabStrucW]</t>
  </si>
  <si>
    <t>Habitat Productivity [CfixW]</t>
  </si>
  <si>
    <t>Offsite Habitat Influence [LscapeW]</t>
  </si>
  <si>
    <t>Habitat Structure [HabStrucS]</t>
  </si>
  <si>
    <t>Habitat Productivity [CfixS]</t>
  </si>
  <si>
    <t>Offsite Habitat Influence [LscapeS]</t>
  </si>
  <si>
    <t>Sedge14</t>
  </si>
  <si>
    <t>SnagD14</t>
  </si>
  <si>
    <t>WoodyCovPD</t>
  </si>
  <si>
    <t>dbhPD</t>
  </si>
  <si>
    <t>forbsPD</t>
  </si>
  <si>
    <t>sedgePD</t>
  </si>
  <si>
    <t>Songbird, Raptor, and Mammal Habitat</t>
  </si>
  <si>
    <t>Vegetation Form &amp; Distribution [Vstruc]</t>
  </si>
  <si>
    <t>Wetland Productivity [CfixV]</t>
  </si>
  <si>
    <t>Offsite Habitat Influence [Vscape]</t>
  </si>
  <si>
    <t>Habitable Substrate [Vspace]</t>
  </si>
  <si>
    <t>Provis21</t>
  </si>
  <si>
    <t>Fringe21</t>
  </si>
  <si>
    <t>Lake21</t>
  </si>
  <si>
    <t>Algae21</t>
  </si>
  <si>
    <t>Invest21</t>
  </si>
  <si>
    <t>Human Use</t>
  </si>
  <si>
    <t>Wetland Morphology [Wet]</t>
  </si>
  <si>
    <t>RecreaPoten</t>
  </si>
  <si>
    <t>PersisPD</t>
  </si>
  <si>
    <t>Ball, B.A., J.S. Kominoski, H.E. Adams, S.E. Jones, E.S. Kane, T.D. Loecke, W.M. Mahaney, J.P. Martina, C.M. Prather, T.M.P. Robinson, and C.T. Solomon. 2010. Direct and terrestrial vegetation-mediated effects of environmental change on aquatic ecosystem processes. Bioscience 60:590-601.</t>
  </si>
  <si>
    <t>Chan-McLeod, A. C. A. and A. Moy. 2007. Evaluating residual tree patches as stepping stones and short-term refugia for red-legged frogs. Journal of Wildlife Management 71:1836-1844.</t>
  </si>
  <si>
    <t>Eigenbrod, F., S. J. Hecnar, and L. Fahrig. 2008a. Accessible habitat: an improved measure of the effects of habitat loss and roads on wildlife populations. Landscape Ecology:159-168.</t>
  </si>
  <si>
    <t>Eigenbrod, F., S. J. Hecnar, and L. Fahrig. 2008b. The relative effects of road traffic and forest cover on anuran populations. Biological Conservation 141:35-46.</t>
  </si>
  <si>
    <t>Knutson, M. G., W. B. Richardson, D. M. Reineke, B. R. Gray, J. R. Parmelee, and S. E. Weick. 2004. Agricultural ponds support amphibian populations. Ecological Applications 14:669-684.</t>
  </si>
  <si>
    <t>Marsh, D. M. 2007. Edge effects of gated and ungated roads on terrestrial salamanders. Journal of Wildlife Management 71:389-394.</t>
  </si>
  <si>
    <t>Schmutzer, A. C., M. J. Gray, E. C. Burton, and D. L. Miller. 2008. . Impacts of cattle on amphibian larvae and the aquatic environment. Freshwater Biology 53:2613-2625.</t>
  </si>
  <si>
    <t>Semlitsch, R. D., T. J. Ryan, K. Ramed, M. Chatfield, B. Drehman, N. Pekarek, M. Spath, and A. Watland. 2007. Salamander abundance along road edges and within abandoned logging roads in Appalachian forests. Conservation Biology 21:159-167.</t>
  </si>
  <si>
    <t>OWpct</t>
  </si>
  <si>
    <t>NoOutlet1</t>
  </si>
  <si>
    <t>NoOutlet1a</t>
  </si>
  <si>
    <t>_Iso2</t>
  </si>
  <si>
    <t>OpenPonded2</t>
  </si>
  <si>
    <t>WetPctHUC8</t>
  </si>
  <si>
    <t>SlopeBuffer</t>
  </si>
  <si>
    <t>WoodyPct4</t>
  </si>
  <si>
    <t>OWpct4</t>
  </si>
  <si>
    <t>FenBogMarsh</t>
  </si>
  <si>
    <t>OWpct6</t>
  </si>
  <si>
    <t>OWpct10</t>
  </si>
  <si>
    <t>UniqClass</t>
  </si>
  <si>
    <t>UniqFenMarshSwamp</t>
  </si>
  <si>
    <t>OWpct8</t>
  </si>
  <si>
    <t>Dist2DevCrop</t>
  </si>
  <si>
    <t>OWpct11</t>
  </si>
  <si>
    <t>HerbWoodMix14</t>
  </si>
  <si>
    <t>HerbWoodMix11</t>
  </si>
  <si>
    <t>ClassRich1k</t>
  </si>
  <si>
    <t>OWpct13</t>
  </si>
  <si>
    <t>Lake13</t>
  </si>
  <si>
    <t>SeasWpct13</t>
  </si>
  <si>
    <t>MarshUniq</t>
  </si>
  <si>
    <t>BMP_14</t>
  </si>
  <si>
    <t>Dist2Road</t>
  </si>
  <si>
    <t>ClassRichIn14</t>
  </si>
  <si>
    <t>Invasives</t>
  </si>
  <si>
    <t>DownWood15</t>
  </si>
  <si>
    <t>Snags15</t>
  </si>
  <si>
    <t>Rock15</t>
  </si>
  <si>
    <t>ClassRichIn15</t>
  </si>
  <si>
    <t>ClassRichIn8</t>
  </si>
  <si>
    <t>Toxic20</t>
  </si>
  <si>
    <t>The capacity to support or contribute to a diversity of native, hydrophytic, vascular plant species, communities, and/or functional groups.  As well, the capacity to support pollinating insects, such as bees, wasps, flies, butterflies, moths, and beetles.</t>
  </si>
  <si>
    <t>Nesting Bird Colony, Piping Plover Water Body, or Trumpeter Swan Use Area</t>
  </si>
  <si>
    <t>Potential Access [Access]</t>
  </si>
  <si>
    <t>SwampMarshPct</t>
  </si>
  <si>
    <t>Distance to Nearest Annual Cropland or Developed Land</t>
  </si>
  <si>
    <t>Wetland Class Richness Within Wetland</t>
  </si>
  <si>
    <t>Aspect</t>
  </si>
  <si>
    <t>FenMarshSwamp</t>
  </si>
  <si>
    <t>ThruFlo4</t>
  </si>
  <si>
    <t>Beaver10</t>
  </si>
  <si>
    <t>Vwidth1</t>
  </si>
  <si>
    <t>If a wetland's substrate remains relatively impermeable to the downward infiltration of runoff much of the time, as happens in groundwater discharge wetlands where water is regularly moving upward from subsurface strata, it has less capacity to store additional runoff.</t>
  </si>
  <si>
    <t>Wetlands with a greater proportion of open water are more exposed to wind and sun, which increase evaporative water loss.</t>
  </si>
  <si>
    <t>Avoidance of Anoxia [AnoxF]</t>
  </si>
  <si>
    <t>Avoidance of Other Stressors [StressF]</t>
  </si>
  <si>
    <t>Stressors (Lack of)  [StressW]</t>
  </si>
  <si>
    <t>Stressors (Lack of)  [StressS]</t>
  </si>
  <si>
    <t>Stressors (Lack of) [StressV]</t>
  </si>
  <si>
    <t>BMP_11</t>
  </si>
  <si>
    <t>Toxic11</t>
  </si>
  <si>
    <t>BMP_13</t>
  </si>
  <si>
    <t>Beaver14a</t>
  </si>
  <si>
    <t>ChanConn</t>
  </si>
  <si>
    <t>Channel Connection</t>
  </si>
  <si>
    <t>ChannConn</t>
  </si>
  <si>
    <t>ABWRET-A FUNCTION MODEL</t>
  </si>
  <si>
    <t>ABWRET-A MODEL</t>
  </si>
  <si>
    <t>Public</t>
  </si>
  <si>
    <t>Ownership category = Public</t>
  </si>
  <si>
    <t>Wetlands that lack an outlet (never have any outflow) retain or remove via denitrification all N that enters them.</t>
  </si>
  <si>
    <t>Wetlands that lack an outlet (never have any outflow) store all phosphorus that enters them.</t>
  </si>
  <si>
    <t>OWarea</t>
  </si>
  <si>
    <t xml:space="preserve">OWpct </t>
  </si>
  <si>
    <t>% of Summertime Water That Is Shaded</t>
  </si>
  <si>
    <t xml:space="preserve">% of Water Ponded vs. Flowing </t>
  </si>
  <si>
    <t>Ponded Open Water - Minimum Size</t>
  </si>
  <si>
    <t xml:space="preserve">% of Ponded Water That Is Open </t>
  </si>
  <si>
    <t>% Bare Ground &amp; Thatch</t>
  </si>
  <si>
    <t>Scores will appear below after all data are entered in worksheets OF, F, and S.  See Manual for definitions and descriptions of how scores were computed.</t>
  </si>
  <si>
    <t xml:space="preserve">This is the primary indicator of a wetland's potential for supporting summer flow in connected downslope streams. </t>
  </si>
  <si>
    <t xml:space="preserve">Fish access to wetlands is better if an outlet is present and outflows from the wetland are persistent. Although isolated wetlands with persistent surface water can support some resident fish, a permanent connection to other surface waters increases the ability of fish to move among wetlands and other surface waters in search of food and other needs.  </t>
  </si>
  <si>
    <t xml:space="preserve">Diffuse flow paths and large spatial complexity of channels within a wetland support a wider variety of microhabitats for fish and their invertebrate foods. </t>
  </si>
  <si>
    <t xml:space="preserve">Over the long term, beaver dam-building activities are highly beneficial to fish rearing habitat, creating pools used by fish as refuge, adding wood that provides fish cover, and increasing the overall productivity of river systems (Murphy et al. 1989, Collen &amp; Gibson 2001). </t>
  </si>
  <si>
    <t>In calculations, is excluded automatically (cell goes blank) if natural cover in the buffer (see above) is &gt;90%.</t>
  </si>
  <si>
    <t xml:space="preserve">Open Water Area </t>
  </si>
  <si>
    <t>Scoring Notes</t>
  </si>
  <si>
    <t>Inverse</t>
  </si>
  <si>
    <t>OWpct_INV</t>
  </si>
  <si>
    <t>OWpct_AM</t>
  </si>
  <si>
    <t>OWpct_WB</t>
  </si>
  <si>
    <t>% Undeveloped Openlands Within 1km</t>
  </si>
  <si>
    <t>Wetland as a % of Its HUC8</t>
  </si>
  <si>
    <t>% of AA that is Open Water (macro scale)</t>
  </si>
  <si>
    <t>AA Size</t>
  </si>
  <si>
    <t>The effectiveness for retaining phosphorus for long periods (&gt;1 growing season) as a result of chemical adsorption, or from translocation by plants to belowground zones with less potential for physically or chemically remobilizing phosphorus into the water column.</t>
  </si>
  <si>
    <t>The raw value is scored as follows: &lt;1%=0;  1%-5%=0.4; 6-30%=0.8, 31-70%=1; 71-99%=0.6; &gt;99%=0.2</t>
  </si>
  <si>
    <t>% of AA that is Open Water (macro scale, Invertebrate Habitat)</t>
  </si>
  <si>
    <t>% of AA that is Open Water (macro scale, Amphibian Habitat)</t>
  </si>
  <si>
    <t>% of AA that is Open Water (macro scale, Waterbird Habitat)</t>
  </si>
  <si>
    <t xml:space="preserve">This function is likely to be most beneficial to aquatic life and human use of stream water where there are stream segments that periodically dry up due to local climate (low P-PET), headwater location, artificial diversions, or other factors.  However, the model does not address such ecological or economic needs for supporting stream flow at a particular location.  </t>
  </si>
  <si>
    <t>The model does not address the ecological need for cooling or maintaining temperatures of streams at a particular location, as would be implied partly by the presence of coldwater fish and the closeness of ambient summer temperatures to physiological thresholds of those fish. The model also does not address the benefits of cooled water that relate to its ability to hold more dissolved oxygen, which in turn supports better processing of many pollutants.</t>
  </si>
  <si>
    <t xml:space="preserve">The model does not address the ecological need for organic nutrients in the receiving stream or lake at a particular location.  At some locations nutrients may limit aquatic productivity while at others additional nutrients could cause problems associated with overenrichment.  Also, the model is unable to differentiate among the various forms of organic nutrients, e.g., carbon that is easily consumed and cycled vs. carbon that provides less nutrition and cycles slowly in food webs. The model does not address the potential export of organic nutrients via insect emergence and wetland animal movements. </t>
  </si>
  <si>
    <t xml:space="preserve">The model does not address the ecological need for keeping phosphorus out of the surface or ground water at a particular location, as would be implied partly by the occurrence of nuisance blooms of algae or decline of plants that are sensitive to phosphorus overenrichment, at that location or downgradient.  </t>
  </si>
  <si>
    <t>The model does not address the likelihood that, based on wetland proximity, valuable infrastructure located downgradient and within flood risk areas may be damaged if water above it is not stored in wetlands or other facilities. The model also does not address the possibility that infrastructure is located within the wetland itself, in which case water storage could threaten that.</t>
  </si>
  <si>
    <t>The model does not address the ecological need for keeping suspended sediment out of streams at a particular location, as would be implied partly by the presence of sensitive aquatic life in those streams.  The model also does not address the potential harm to wetland organisms that occurs when excessive amounts of sediment  smother plants and animals within a wetland.  Nor does the model address the loss in water storage space that occurs when sediment is deposited and retained.  The model does not address the potential positive benefits of trapping and depositing sediment along the deepwater margin of lakeshore wetlands, which can gradually increase the area of wetlands.</t>
  </si>
  <si>
    <t xml:space="preserve">The model does not address the ecological need for keeping nitrate out of the surface or ground water at a particular location, as would be implied partly by the presence of domestic wells, nuisance blooms of algae, or plants that are sensitive to nitrate overenrichment.  </t>
  </si>
  <si>
    <t>Fish Presence</t>
  </si>
  <si>
    <t>1 (yes) or 0 (no) based only on available hydrography layer.</t>
  </si>
  <si>
    <t>Notes</t>
  </si>
  <si>
    <t>Code</t>
  </si>
  <si>
    <t>If not within sensitive amphibian range then cell turns blank (NULL) and is ignored in calculations.</t>
  </si>
  <si>
    <t>If not within trumpeter swan area then cell turns blank (NULL) and is ignored in calculations.</t>
  </si>
  <si>
    <t>If not within riparian or floodplain area then cell turns blank (NULL) and is ignored in calculations.</t>
  </si>
  <si>
    <t>If not within a designated IBA then cell turns blank (NULL) and is ignored in calculations.</t>
  </si>
  <si>
    <t>If not within area where any of these species nests, then cell turns blank (NULL) and is ignored in calculations.</t>
  </si>
  <si>
    <t xml:space="preserve"> If wetland not within Sensitive Raptor Nesting Area then ignored (NULL) in calculations.</t>
  </si>
  <si>
    <t>If wetland not within riparian or floodplain area then ignored (NULL) in calculations.</t>
  </si>
  <si>
    <t>Aspect of the AA's 100m Upslope Buffer</t>
  </si>
  <si>
    <t xml:space="preserve">Elevation Percentile Within HUC8 </t>
  </si>
  <si>
    <t>Calculated as (wetland's elevation - minimum elevation of wetland's HUC8) divided by elevation range (max-min) of the wetland's HUC8.</t>
  </si>
  <si>
    <t>Wind Energy - Summer</t>
  </si>
  <si>
    <t>Local Uniqueness of Wetland's Class</t>
  </si>
  <si>
    <t>Based on Canadian Forest Service average number of days above 5C during growing season 1971-2000, minimum resolution of 1 km2.</t>
  </si>
  <si>
    <t>1 (yes) or 0 (no) from FWMIS database.</t>
  </si>
  <si>
    <t>1 (yes) or 0 (no) wetland centroid intersects the merged Colonial Nesting Bird, Piping Plover Water Body and Trumpeter Swan layers from FWMIS database.</t>
  </si>
  <si>
    <t>1 (yes) or 0 (no). Based only on Class A or B designation (Alberta Water Act Codes of Practice streams) layer from GOA 2013.</t>
  </si>
  <si>
    <t xml:space="preserve">% Slope </t>
  </si>
  <si>
    <t>A gentle shore slope provides waterbirds with easier access to upland nesting cover near the water.  In calculations, is excluded automatically (cell goes blank) if wetland never has surface water during an average year. Also is excluded automatically if wetland lacks open water or is &lt;0.01 ha.</t>
  </si>
  <si>
    <t>Wells21</t>
  </si>
  <si>
    <t>Resource Use and Best Management Practices [Use]</t>
  </si>
  <si>
    <t>Roads provide access that enhances most human uses of wetlands.</t>
  </si>
  <si>
    <t>These areas provide opportunities for some recreational uses not possible elsewhere.</t>
  </si>
  <si>
    <t>Public lands, especially those where recreation or conservation is a primary designated use, are accessible to more people.</t>
  </si>
  <si>
    <t>The extent of a wetland that is potentially accessible to visitors influences the frequency of visitation.  Presence of an inhabited building nearby suggests the wetland may be visited more often.</t>
  </si>
  <si>
    <t>Because each wetland class has a distinct flora, a greater variety of wetland classes implies greater plant diversity and more diverse sources of pollen for pollinators.</t>
  </si>
  <si>
    <t>See above</t>
  </si>
  <si>
    <t>Rationale &amp; Scoring Notes</t>
  </si>
  <si>
    <t>Gaps in woody canopy, or scattered trees and shrubs within a marsh or bog, support a wider variety of plants and indicate a diversity of underlying hydroperiods that have the same effect.</t>
  </si>
  <si>
    <t>Inflowing streams or rivers bring plant propagules that can sprout and diversify wetland plant communities.  Also, the soil-disturbing and vegetation-thinning effects of natural floods typically diversity plant communities in the long term</t>
  </si>
  <si>
    <t>If a particular class is significantly present in a wetland but scarce in the surrounding area, the contribution of its plants to local floristic diversity is likely to be greater.</t>
  </si>
  <si>
    <t>HerbWood15</t>
  </si>
  <si>
    <t>OF1</t>
  </si>
  <si>
    <t>OF2</t>
  </si>
  <si>
    <t>OF3</t>
  </si>
  <si>
    <t>OF4</t>
  </si>
  <si>
    <t>OF5</t>
  </si>
  <si>
    <t>OF6</t>
  </si>
  <si>
    <t>OF7</t>
  </si>
  <si>
    <t>OF8</t>
  </si>
  <si>
    <t>OF9</t>
  </si>
  <si>
    <t>OF10</t>
  </si>
  <si>
    <t>OF11</t>
  </si>
  <si>
    <t>OF12</t>
  </si>
  <si>
    <t>OF13</t>
  </si>
  <si>
    <t>OF14</t>
  </si>
  <si>
    <t>OF15</t>
  </si>
  <si>
    <t>OF16</t>
  </si>
  <si>
    <t>OF17</t>
  </si>
  <si>
    <t>OF18</t>
  </si>
  <si>
    <t>OF19</t>
  </si>
  <si>
    <t>OF20</t>
  </si>
  <si>
    <t>OF21</t>
  </si>
  <si>
    <t>OF22</t>
  </si>
  <si>
    <t>OF23</t>
  </si>
  <si>
    <t>OF24</t>
  </si>
  <si>
    <t>OF25</t>
  </si>
  <si>
    <t>OF26</t>
  </si>
  <si>
    <t>OF27</t>
  </si>
  <si>
    <t>OF28</t>
  </si>
  <si>
    <t>OF29</t>
  </si>
  <si>
    <t>OF30</t>
  </si>
  <si>
    <t>OF31</t>
  </si>
  <si>
    <t>OF32</t>
  </si>
  <si>
    <t>OF33</t>
  </si>
  <si>
    <t>OF34</t>
  </si>
  <si>
    <t>OF35</t>
  </si>
  <si>
    <t>OF36</t>
  </si>
  <si>
    <t>OF37</t>
  </si>
  <si>
    <t>OF38</t>
  </si>
  <si>
    <t>OF39</t>
  </si>
  <si>
    <t>OF40</t>
  </si>
  <si>
    <t>OF41</t>
  </si>
  <si>
    <t>OF42</t>
  </si>
  <si>
    <t>OF43</t>
  </si>
  <si>
    <t>OF44</t>
  </si>
  <si>
    <t>OF45</t>
  </si>
  <si>
    <t>OF46</t>
  </si>
  <si>
    <t>OF47</t>
  </si>
  <si>
    <t>OF48</t>
  </si>
  <si>
    <t>OF49</t>
  </si>
  <si>
    <t>OF50</t>
  </si>
  <si>
    <t>OF51</t>
  </si>
  <si>
    <t>Snags provide nest or dormancy sites for many insect pollinators. The removal of dead wood, which often accompanies lakeshore development, has been associated with reduced pollination (Trant et al. 2010).</t>
  </si>
  <si>
    <t>Cliffs and rocky slopes provide nest or dormancy sites for many insect pollinators.  Also, several pollinating butterflies and moths are routinely attracted by salt licks and saline springs.</t>
  </si>
  <si>
    <t>Seeds of non-native plants commonly are carried by humans and their pets. Non-native plants can decrease plant species richness of the wetland.  In the Kenai Peninsula of Alaska, significantly fewer nonnative species were found beyond a 500-m distance from a trailhead.  High-use trails, especially those in open-canopied areas, exhibited the greatest numbers of nonnative species at the farthest distances from the trailhead and contained a greater number of less common nonnative species (Bella 2011).</t>
  </si>
  <si>
    <t>Especially in organic and clay soils, trampling and soil compaction results in direct loss of vegetation, changes the soil chemistry and hydrology, reduces seed germination, and facilitates the invasion by exotic species.  Collectively these usually reduce richness of native plants within a wetland.</t>
  </si>
  <si>
    <t>This spatial data layer mainly indicates areas of relatively intact habitat along major river corridors and valley slope breaks. The data correlate with ungulate winter densities but likely indicate high suitability for many valued songbirds and raptors as well.</t>
  </si>
  <si>
    <t>To some degree, different bird and mammal species associate with different wetland classes.  Thus, greater class richness supports greater richness of these groups.</t>
  </si>
  <si>
    <t>Chemicals and house cats that can harm wetland birds and mammals are most prevalent where wetlands or their tributaries are adjoined by agricultural or developed lands.</t>
  </si>
  <si>
    <t xml:space="preserve">Compared to other type of variables, climate factors are, in aggregate, the most important determinants of bird species richness across all of Boreal Canada (Hawkins et al. 2003). </t>
  </si>
  <si>
    <t>Wetlands are important to several Alberta raptor species. Although survey data are not comprehensive and current, known occurrences of nesting raptors should elevate a wetland's score for this function.</t>
  </si>
  <si>
    <t>Riparian areas are often favoured as travel corridors by songbirds and wetland mammals.</t>
  </si>
  <si>
    <t>If a particular class is significantly present in a wetland but scarce in the surrounding area, the contribution of wildlife species (that associate with that class) to local biodiversity is likely to be greater.</t>
  </si>
  <si>
    <t>If not within Key Wildlife Biodiversity Zone then this indicator is ignored (NULL) in calculations.</t>
  </si>
  <si>
    <t>Wetlands located near agricultural and developed areas are often exposed to greater amounts of pesticides and human disturbance, which can reduce productivity and use by waterbirds.</t>
  </si>
  <si>
    <t>These are typically areas that have been officially designated by biologists as being especially important to waterbirds.</t>
  </si>
  <si>
    <t>These rare or sensitive wetland birds contribute disproportionately to regional biodiversity.</t>
  </si>
  <si>
    <t>Waterbirds often follow major rivers during migration, and floodplain wetlands tend to be more productive than more isolated wetlands at higher elevations.</t>
  </si>
  <si>
    <t>Most waterbirds are attracted more strongly to unforested than forested landscapes, at least when those are relatively undeveloped.</t>
  </si>
  <si>
    <t>Shorebirds are a large component of waterbird diversity.  Most shorebird species feed only on mudflats or in areas of short, sparse vegetation.</t>
  </si>
  <si>
    <t>To some degree, different wetland classes satisfy different requirements of amphibians during their life cycle.  Thus, greater class richness may support greater amphibian productivity and/or diversity.  A 1-km buffer as well as on-site condition is assessed because many amphibians conduct essential dispersal movements over distances that long or longer.</t>
  </si>
  <si>
    <t>Wetlands located near agricultural and developed areas are often exposed to greater amounts of pesticides and other contaminants.  Those can reduce amphibian productivity by contributing to deformities as well as increased vulnerability to fungal infections and parasites.</t>
  </si>
  <si>
    <t>Populations of some amphibians (e.g., four-toed salamander) seem to thrive best in fishless wetlands. Predatory fish (especially, exotic species) can cause extirpations of native species or at least reduce productivity (Pearl et al. 2005).</t>
  </si>
  <si>
    <t>Because of their relative rarity, these amphibian species contribute more to regional biodiversity than amphibian species with broader habitat tolerances.</t>
  </si>
  <si>
    <t>If a wetland contains fen, marsh, or swamp but those classes (which are most important to amphibians) are scarce in the surrounding area, the contribution of amphibian species (that associate with those classes) to local biodiversity is likely to be greater.</t>
  </si>
  <si>
    <t>The shelter and moist microclimate provided by wetland vegetation is especially critical to amphibians in areas with strong summer winds that tend to dry out the moist skin surfaces that are characteristic of amphibians.</t>
  </si>
  <si>
    <t>A well-interspersed mixture of herbaceous and woody vegetation is hypothesized to be most beneficial to amphibians because it provides both a moist microclimate and warmer open areas in close proximity.</t>
  </si>
  <si>
    <t>Because different wetland classes are likely to have distinctive invertebrate assemblages, a greater variety of wetland classes implies greater invertebrate diversity.</t>
  </si>
  <si>
    <t>High interspersion of wetland woody and herbaceous vegetation provides emergence sites for aquatic insects and may be presumed to support more groups of wetland invertebrates.</t>
  </si>
  <si>
    <t>Extensive moss cover creates acidic conditions that can restrict the number of aquatic invertebrate species in a wetland.  Moss also provides less vertical structure than most vascular plants.</t>
  </si>
  <si>
    <t>Although fish are common in isolated wetlands (at least, those that have permanent water), wetlands with a surface water connection to other water bodies usually support greater fish production and diversity and are less prone to winterkill problems.</t>
  </si>
  <si>
    <t>Road access potentially brings more fishing pressure and pollutants, so increasing distance from roads is assumed to be better for fish populations.</t>
  </si>
  <si>
    <t>This is direct evidence of fish use, though not necessarily fish diversity.</t>
  </si>
  <si>
    <t>If no connection, then blank (NULL) and ignored in calculations rather than reducing the indicator score.</t>
  </si>
  <si>
    <t>If wetland not intersected by a Class A or B stream (Alberta Water Act Codes of Practice stream), then cell turns blank (NULL) and is ignored in calculations rather than reducing the indicator score.  The data source is not comprehensive and does not include lakes and ponds.</t>
  </si>
  <si>
    <r>
      <t xml:space="preserve">Because their connectivity with adjoining water bodies is more certain, fringe wetlands often provide better conditions for fish, allowing escape from occasional drought and low oxygen conditions.  </t>
    </r>
    <r>
      <rPr>
        <i/>
        <sz val="10"/>
        <rFont val="Arial Narrow"/>
        <family val="2"/>
      </rPr>
      <t>In calculations, is excluded automatically (cell goes blank) if wetland never has surface water during an average year or if water is present only seasonally.  If condition not met, then ignored in calculations rather than being counted as a negative.</t>
    </r>
  </si>
  <si>
    <r>
      <t xml:space="preserve">Aquatic plants provide cover for fish and in some cases the associated shading helps maintain cool water temperature. However, as they decay beneath winter ice, they can deprive fish of necessary oxygen (Meding &amp; Jackson 2003).  </t>
    </r>
    <r>
      <rPr>
        <i/>
        <sz val="10"/>
        <rFont val="Arial Narrow"/>
        <family val="2"/>
      </rPr>
      <t>In calculations, is excluded automatically (cell goes blank) if wetland has no ponded water or is &lt;0.01 ha.</t>
    </r>
  </si>
  <si>
    <t xml:space="preserve">Wetlands along streams or rivers or in floodplains are more likely to be exposed to moving water that can export organic matter downstream. </t>
  </si>
  <si>
    <t>Although moss-covered wetlands tend to have lower annual productivity, the accumulated moss is very rich in carbon and other nutrients and if subject to flows that can export it, can make these wetlands significant contributors of these nutrients at a watershed scale.</t>
  </si>
  <si>
    <t>More extensive ground cover may imply more organic matter is available for export.  Excessive litter buildup sometimes implies a lack of significant exporting forces, e.g., currents.</t>
  </si>
  <si>
    <t xml:space="preserve">Denitrification rates are often limited by the amount of available carbon. Organic soils have the most carbon, and coarse soils usually have the least. Denitrification enzyme activity, on a per gram basis, is typically greater in organic soils than mineral soils (Van Hoewyk et al. 2000). However, the acidic nature of many organic soils can limit denitrification, the major process for nitrate removal. Soils having less than 65% silt and clay have very limited capacity to remove nitrate via denitrification (Pinay et al. 2003). Emissions of nitrous oxide (a detrimental greenhouse gas) are most likely to occur in soils that are poor in organic matter but rich in nitrogen (e.g., the carbon-nitrogen ratio is less than 25, Hunt et al. 2007). </t>
  </si>
  <si>
    <t>Open water areas are more prone to wind that can mix of bottom sediments, resuspending the P-bearing sediment and resulting in export if an outlet is present. When there is proportionally more vegetation than open water, that provides potential for trapping suspended sediment and retaining its associated P.</t>
  </si>
  <si>
    <t xml:space="preserve">Wetlands frozen later into the spring are less able to retain P-bearing sediment suspended in snowmelt runoff.  </t>
  </si>
  <si>
    <t xml:space="preserve">Larger vegetated areas imply longer retention times that presumably promote greater P retention per unit area.  </t>
  </si>
  <si>
    <r>
      <t xml:space="preserve">In some cases, sediments that remain covered with water year-round (and longer) tend to become anaerobic and release phosphorus, especially in deeper wetlands. Thus, wetlands with the least extent of persistent water may be most retentive of whatever P they receive.  In contrast, seasonal drawdowns can mobilize phosphorus that has accumulated in sediments (Snyder &amp; Morace 1997, Aldous et al. 2005). To a perhaps lesser extent, reflooding of soils that have been dry for extended periods also can mobilize phosphorus, especially if flooding creates anoxic conditions (Burley et al. 2001), or if large quantities of leaf litter and other organic matter are present and rapidly decompose or leach phosphorus. </t>
    </r>
    <r>
      <rPr>
        <i/>
        <sz val="10"/>
        <rFont val="Arial Narrow"/>
        <family val="2"/>
      </rPr>
      <t>In calculations, is excluded automatically (cell goes blank) if wetland never has surface water during an average year.</t>
    </r>
  </si>
  <si>
    <r>
      <t xml:space="preserve">Lacustrine wetlands are more likely than bogs or fens to be phosphorus-limited (Walbridge &amp; Navaratnam 2006), and thus should be more able to take up and retain phosphorus. </t>
    </r>
    <r>
      <rPr>
        <i/>
        <sz val="10"/>
        <rFont val="Arial Narrow"/>
        <family val="2"/>
      </rPr>
      <t>In calculations, is excluded automatically (cell goes blank) if wetland never has surface water during an average year.</t>
    </r>
  </si>
  <si>
    <r>
      <t xml:space="preserve">Wetting and drying of sediments, as happens especially in wetlands with large water level fluctuations, increases the leaching and desorption of phosphorus from sediment organic matter, thus resulting in net export. However, stable water levels also can promote phosphorus export (not retention) because they are often associated with anoxic conditions that result in increased mobility of phosphorus. Sediment P release and subsequent export is particularly strong during periods of seasonal anoxia (Burley et al. 2001). </t>
    </r>
    <r>
      <rPr>
        <i/>
        <sz val="10"/>
        <rFont val="Arial Narrow"/>
        <family val="2"/>
      </rPr>
      <t>In calculations, is excluded automatically (cell goes blank) if wetland never has surface water during an average year, or if none of it floods only seasonally.</t>
    </r>
  </si>
  <si>
    <r>
      <t>Deeper wetlands are more likely to experience anoxic conditions that promote P mobility and export. However, deeper waters also imply slower water velocity, longer water detention time, more time for biological processing of phosphorus, and reduced likelihood of phosphorus associated with deposited sediments being resuspended by wind mixing or currents.</t>
    </r>
    <r>
      <rPr>
        <i/>
        <sz val="10"/>
        <rFont val="Arial Narrow"/>
        <family val="2"/>
      </rPr>
      <t xml:space="preserve"> In calculations, is excluded automatically (cell goes blank) if wetland never has surface water during an average year, or if wetland is &lt;0.01 ha..</t>
    </r>
  </si>
  <si>
    <t xml:space="preserve">The presence of steep slopes near a wetland suggests that water residence time in the associated wetland may also be short, thus reducing its potential for retaining sediment.  However, if the wetland is large, slope angle is unlikely to have much effect on water residence time within that wetland. </t>
  </si>
  <si>
    <t xml:space="preserve">Wetlands frozen later into the spring (as indicated by Subzero Days) are less able to retain sediment suspended in snowmelt runoff. </t>
  </si>
  <si>
    <t xml:space="preserve">The absolute size of the vegetated area correlates with increased sediment trapping and stabilization potential, and is sometimes independent of the proportion of the wetland that is vegetated.  Larger vegetated areas imply longer retention times that support deposition and retention.  </t>
  </si>
  <si>
    <r>
      <t xml:space="preserve">As a wetland's surface water area expands seasonally, water velocity is often reduced due to increased friction, and material suspended in the expanding water body is more likely to be deposited. </t>
    </r>
    <r>
      <rPr>
        <i/>
        <sz val="10"/>
        <rFont val="Arial Narrow"/>
        <family val="2"/>
      </rPr>
      <t xml:space="preserve"> In calculations, is excluded automatically (cell goes blank) if wetland never has surface water during an average year. </t>
    </r>
  </si>
  <si>
    <r>
      <t xml:space="preserve">Wetlands whose shorelines have gentle slope are more likely than those with steep ones to retain sediment runoff from adjoining uplands, and are likely to have more vegetation that facilitates this. </t>
    </r>
    <r>
      <rPr>
        <i/>
        <sz val="10"/>
        <rFont val="Arial Narrow"/>
        <family val="2"/>
      </rPr>
      <t>In calculations, is excluded automatically (cell goes blank) if wetland never has surface water during an average year. Also is excluded automatically if wetland lacks open water or is &lt;0.01 ha.</t>
    </r>
  </si>
  <si>
    <r>
      <t xml:space="preserve">Wider vegetated areas provide more area for sediment particles borne in runoff to be filtered and deposited. Knutson et al. (1981) found that emergent wetlands wider than 30 feet reduced wave energy by 88% while those less than 6 feet wide were relatively ineffective in wave buffering. Many studies have shown that sediment retention is greatest in the first 5-20 ft of a buffer, that is, the most uphill portion, which is closest to potential inputs of runoff-borne sediment (Polyakov et al. 2005, White et al. 2007). However, this depends on steepness of the terrain, erodibility and infiltration capacity of the soil, ground cover, antecedent soil saturation, sediment particle size, and runoff intensity. Wider buffers are required when runoff carries finer-sized particles (e.g., clay).  </t>
    </r>
    <r>
      <rPr>
        <i/>
        <sz val="10"/>
        <rFont val="Arial Narrow"/>
        <family val="2"/>
      </rPr>
      <t>In calculations, is excluded automatically (cell goes blank) if wetland never has surface water during an average year. Also is excluded automatically if wetland lacks open water or is &lt;0.01 ha.</t>
    </r>
  </si>
  <si>
    <r>
      <t xml:space="preserve">Ponding allows more time for suspended sediment to settle out.  </t>
    </r>
    <r>
      <rPr>
        <i/>
        <sz val="10"/>
        <rFont val="Arial Narrow"/>
        <family val="2"/>
      </rPr>
      <t>In calculations, is excluded automatically (cell goes blank) if wetland never has surface water during an average year. Also is excluded automatically if wetland is &lt;0.01 ha.</t>
    </r>
  </si>
  <si>
    <r>
      <t xml:space="preserve">Wetlands that lack outlets retain all sediment that enters them, and very little is remobilized and exported downgradient over the long term.  Wetlands that connect to downslope water bodies for only part of the year may export less sediment annually than those with persistent outflow. </t>
    </r>
    <r>
      <rPr>
        <i/>
        <sz val="10"/>
        <rFont val="Arial Narrow"/>
        <family val="2"/>
      </rPr>
      <t>In calculations, is excluded automatically (cell goes blank) if wetland never has surface water during an average year.</t>
    </r>
  </si>
  <si>
    <t>If soils within a wetland are being disturbed or eroded, it is less likely the wetland will retain sediment on a net annual basis.</t>
  </si>
  <si>
    <t>Wetlands that have no outflow are likely to have only minimal effect on temperature of downslope water bodies.</t>
  </si>
  <si>
    <t>Wetlands that are not connected to downgradient waters at least seasonally have only minimal effect on temperature of those water bodies.</t>
  </si>
  <si>
    <r>
      <t xml:space="preserve">Where most of the surface water is ponded, it is more likely to be heated by the sun than if distributed in the channels or residing underground.  </t>
    </r>
    <r>
      <rPr>
        <i/>
        <sz val="10"/>
        <rFont val="Arial Narrow"/>
        <family val="2"/>
      </rPr>
      <t>In calculations, is excluded automatically (cell goes blank) if wetland never has surface water during an average year.  Also is excluded automatically if wetland is &lt;0.01 ha.</t>
    </r>
  </si>
  <si>
    <t>Open water experiences more water loss from evaporation due to wind and solar heating, and that can mean less water available to subsidize downgradient streams.</t>
  </si>
  <si>
    <t>Wetlands in regions with intrinsically large precipitation deficits may be less capable of subsidizing flow in downgradient streams.</t>
  </si>
  <si>
    <t>Wetlands that are not in riparian or floodplain locations are likely to have only minimal effect on volume of flow reaching downstream water bodies.</t>
  </si>
  <si>
    <t>Wetlands that remain frozen for longer in the spring may have more potential to subsidize flow in receiving streams as wetland ice gradually melts.</t>
  </si>
  <si>
    <t>Evapotranspiration from vegetation can represent a significant loss of water that otherwise might subsidize downstream flows.</t>
  </si>
  <si>
    <t>Wetlands in regions with persistent summer winds experience more evaporative loss of their water and thus may be less capable of subsidizing flow in downgradient streams.</t>
  </si>
  <si>
    <r>
      <t xml:space="preserve">This directly estimates the relative amount of horizontal space in which precipitation and runoff are being stored, at least temporarily. The ability of wetland water storage to reduce stream peak flows is greatest in summer and fall, where those are the driest times of year (Roulet &amp; Woo 1988, Quinton &amp; Roulet 1998). </t>
    </r>
    <r>
      <rPr>
        <i/>
        <sz val="10"/>
        <rFont val="Arial Narrow"/>
        <family val="2"/>
        <scheme val="minor"/>
      </rPr>
      <t xml:space="preserve"> In calculations, is excluded automatically (cell goes blank) if wetland never has surface water during an average year.</t>
    </r>
  </si>
  <si>
    <r>
      <t xml:space="preserve">Ponding indicates water is in storage rather than being transferred immediately downslope.  Water distributed in small pools is more subject to loss via evapotranspiration before it can exit a wetland.  </t>
    </r>
    <r>
      <rPr>
        <i/>
        <sz val="10"/>
        <rFont val="Arial Narrow"/>
        <family val="2"/>
        <scheme val="minor"/>
      </rPr>
      <t>In calculations, is excluded automatically (cell goes blank) if wetland never has surface water during an average year.  Also is excluded automatically if wetland is &lt;0.01 ha.</t>
    </r>
  </si>
  <si>
    <r>
      <t xml:space="preserve">Like a constricted outlet, vegetation and other obstacles create a "roughness" within a wetland that can slow the outflow and downstream movement of water. This is much truer if the vegetation intercepts a large proportion of the flow during high-flow periods (i.e., is not merely along an upland edge that never floods), and is tall and stiff enough to provide some resistance. However, the vegetation itself occupies space otherwise available for storing water (this effect is usually negligible). Water also takes longer to move through complex channel networks (e.g., braided or sinuous) which themselves provide additional friction. This indicator is an attempt to represent "Manning's n" which is a standard term in stream hydraulic models.  </t>
    </r>
    <r>
      <rPr>
        <i/>
        <sz val="10"/>
        <rFont val="Arial Narrow"/>
        <family val="2"/>
        <scheme val="minor"/>
      </rPr>
      <t>In calculations, is excluded automatically (cell goes blank) if wetland never has surface water during an average year.  Also is excluded automatically if no surface inflow.</t>
    </r>
  </si>
  <si>
    <r>
      <t xml:space="preserve">Wetlands that store water only temporarily or seasonally have longer periods during the year in which soils are unsaturated and thus able to briefly store or delay additional water from precipitation and runoff. Wetland connectivity is key to estimating wetland water storage: wetlands that lack an outlet (never have any outflow) store or dissipate (via evaporation or seepage) nearly all the water they receive (Spence et al. 2011).  </t>
    </r>
    <r>
      <rPr>
        <i/>
        <sz val="10"/>
        <rFont val="Arial Narrow"/>
        <family val="2"/>
        <scheme val="minor"/>
      </rPr>
      <t>In calculations, is excluded automatically (cell goes blank) if wetland never has surface water during an average year</t>
    </r>
  </si>
  <si>
    <r>
      <t xml:space="preserve">Ponded water that is open and unvegetated it is more likely to be heated by the sun.  </t>
    </r>
    <r>
      <rPr>
        <i/>
        <sz val="10"/>
        <rFont val="Arial Narrow"/>
        <family val="2"/>
      </rPr>
      <t>In calculations, is excluded automatically (cell goes blank) if wetland never has surface water during an average year.  Also is excluded automatically if wetland has no ponded water.</t>
    </r>
  </si>
  <si>
    <t>Soil temperatures are warmer for longer on south-facing slopes, and this is essential for denitrification which removes soluble N (Kim et al. 2007). However, those soils should not be dried out to less than 70% saturation by those warmer conditions (Hefting et al. 2006).</t>
  </si>
  <si>
    <t xml:space="preserve">Microbes responsible for most of the nitrate removal in wetlands thrive best at warmer soil or sediment temperatures. </t>
  </si>
  <si>
    <t>Water table levels tend to be more dynamic in marsh and swamp classes than in bog or fen wetland classes.  Dynamic water levels tend to result in greater denitrification rates.</t>
  </si>
  <si>
    <t>Upland soils are normally aerobic, whereas wetland soils are often anaerobic. Maximum denitrification occurs at the interface of aerobic and anaerobic conditions. Thus, proportionally longer (i.e., convoluted) edges should provide the most opportunity for removal of nitrate via denitrification.</t>
  </si>
  <si>
    <t>If not in a Reserve or Natural Area then cell turns blank (NULL) and is ignored in calculations rather than reducing the score.</t>
  </si>
  <si>
    <t xml:space="preserve">Low Net Annual P-PET (Precipitation minus Potential Evapotranspiration) reflects high evaporation in excess of precipitation, and that provides greater space for storing additional runoff.  However, this was modeled at only a broad scale without fully accounting for more localised factors such as wind, wetland shape, and vegetation. </t>
  </si>
  <si>
    <r>
      <t>Plants take up phosphorus from sediments (and some, from the water directly) and can facilitate long-term retention if P is transferred to roots that are not as subject as the foliage is to leaching the nutrients back into the water column. Plants also facilitate sediment deposition by slowing the water, and much phosphorus is adsorbed on that sediment so is also deposited and potentially retained.  However, their decaying foliage also frequently creates anoxic conditions that promote P release from sediments, if iron concentrations are low and aeration by currents and wind is poor (as tends to occur when emergent and submersed aquatic plants occupy most of a water body).</t>
    </r>
    <r>
      <rPr>
        <i/>
        <sz val="10"/>
        <rFont val="Arial Narrow"/>
        <family val="2"/>
      </rPr>
      <t xml:space="preserve"> In calculations, is excluded automatically (cell goes blank) if wetland never has surface water during an average year. Also is excluded automatically if wetland has no ponded water or is &lt;0.01 ha.</t>
    </r>
  </si>
  <si>
    <t xml:space="preserve">The effectiveness for retaining particulate nitrate and converting soluble nitrate and ammonium to nitrogen gas, primarily through the microbial process of denitrification, while generating little or no nitrous oxide (a potent greenhouse gas).  </t>
  </si>
  <si>
    <t>Denitrification: Labile Carbon Control [Carb]</t>
  </si>
  <si>
    <t>Bedford, B. L., M. R. Walbridge, and A. Aldous. 1999. Patterns in nutrient availability and plant diversity of temperate North American wetlands. Ecology 80:2151-2169.</t>
  </si>
  <si>
    <t>Berendse, F., N. Van Breemen, H. Rydin, A. Buttler, M. Heijmans, M. Hoosbeek, J. A. H. Lee, E. Mitchell, T. Saarinen, H. Vasander, and B. Wallén. 2001. Raised atmospheric CO2 levels and increased N deposition cause shifts in plant species composition and production in Sphagnum bogs. Global Change Biology 7.</t>
  </si>
  <si>
    <t>Clilverd, H. M., J. B. Jones, and K. Kielland. 2008. Nitrogen retention in the hyporheic zone of a glacial river in interior Alaska. Biogeochemistry 88:31–46.</t>
  </si>
  <si>
    <t>D’Amore, D. V., P. E. Hennon, P. G. Schaberg, and G. J. Hawley. 2009. Adaptation to exploit nitrate in surface soils predisposes yellow-cedar to climate-induced decline while enhancing the survival of western redcedar: A new hypothesis. Forest Ecology and Management 258:2261-2268.</t>
  </si>
  <si>
    <t>D’Amore, A., V. Hemingway, and K. Wasson. 2010. Do a threatened native amphibian and its invasive congener differ in response to human alteration of the landscape? Biological Invasions 12:145-154.</t>
  </si>
  <si>
    <t>Fellman, J. B. and D. V. D'Amore. 2007. Nitrogen and phosphorus mineralization in three wetland types in Southeast Alaska, USA. Wetlands 27:44-53.</t>
  </si>
  <si>
    <t>Gunderson, L. H., S. R. Carpenter, C. Folke, P. Olsson, and G. D. Peterson. 2006. Water RATs (resilience, adaptability, and transformability) in lake and wetland social-ecological systems. Ecology and Society 11:16.</t>
  </si>
  <si>
    <t>Hefting, M., B. Beltman, D. Karssenberg, K. Rebel, M. van Riessen, and M. Spijker. 2006. Water quality dynamics and hydrology in nitrate loaded riparian zones in the Netherlands. Environmental Pollution 139:143-156.</t>
  </si>
  <si>
    <t>Heijmans, M. M. P. D., H. Klees, W. de Visser, and F. Berendse. 2002. Response of a Sphagnum bog plant community to elevated CO2 and N supply. Plant Ecology 162:123-134.</t>
  </si>
  <si>
    <t>Heilman, P. E. 1966. Change in distribution and availability of nitrogen with forest succession on north slopes in interior Alaska. Ecology:825-831.</t>
  </si>
  <si>
    <t>Hennon, P. E., D. V. D'Amore, D. T. Witter, and M. B. Lamb. 2010. Influence of forest canopy and snow on microclimate in a declining yellow-cedar forest of Southeast Alaska. Northwest Science 84:73-87.</t>
  </si>
  <si>
    <t>Hunt, P. G., T. A. Matheny, and K. S. Ro. 2007. Nitrous oxide accumulation in soils from riparian buffers of a coastal plain watershed-carbon/nitrogen ratio control. Journal of Environmental Quality 36:1368-1376.</t>
  </si>
  <si>
    <t>Kim, I. J., S. L. Hutchinson, J. M. S. Hutchinson, and C. B. Young. 2007. Riparian ecosystem management model: sensitivity to soil, vegetation, and weather input parameters. Journal of the American Water Resources Association 43:1171-1182.</t>
  </si>
  <si>
    <t>Kroeger, K. D. and M. A. Charette. 2008. Nitrogen biogeochemistry of submarine groundwater discharge. Limnology and Oceanography 53:1025-1079.</t>
  </si>
  <si>
    <t>Li, Y. and D. H. Vitt. 1997. Patterns of retention and utilization of aerially deposited nitrogen in boreal peatlands. Ecoscience. Sainte-Foy 4:106-116.</t>
  </si>
  <si>
    <t>Mayers, P. M., S. K. Reynolds, M. D. McCutchen, and T. J. Canfield. 2005. Riparian Buffer Width, Vegetative Cover, and Nitrogen Removal Effectiveness: A Review of Current Science and Regulations, EPA/600/R-05/118. USEPA, Office of Research and Development, Washington, DC.</t>
  </si>
  <si>
    <t>Mayer, P. M., S. K. Reynolds, Jr., M. D. McCutchen, and T. J. Canfield. 2007. Meta-analysis of nitrogen removal in riparian buffers. Journal of Environmental Quality 36:1172-1180.</t>
  </si>
  <si>
    <t>Pinay, G., T. O'Keefe, R. Edwards, and R. J. Naiman. 2003. Potential denitrification activity in the landscape of a western Alaska drainage basin. Ecosystems 6:336-343.</t>
  </si>
  <si>
    <t>Shaffer, P. W. and T. L. Ernst. 1999. Distribution of soil organic matter in freshwater emergent/open water wetlands in the Portland, Oregon metropolitan area. Wetlands 19:505-516.</t>
  </si>
  <si>
    <t>Song, K., D. Liu, Z. Wang, B. Zhang, C. Jin, F. Li, and H. Liu. 2008. Land use change in Sanjiang Plain and its driving forces analysis since 1954. ACTA Georaphica Sinica-Chinese Edition 63:93.</t>
  </si>
  <si>
    <t>Zaman, M., M. L. Nguyen, F. Matheson, J. D. Blennerhassett, and B. F. Quin. 2007. Can soil amendments (zeolite or lime) shift the balance between nitrous oxide and dinitrogen emissions from pasture and wetland soils receiving urine or urea-N? Australian Journal of Soil Research 45:543-553.</t>
  </si>
  <si>
    <r>
      <t xml:space="preserve">Wetting and drying of sediments, as happens especially in wetlands with large and frequent water level fluctuations (because a wider area is subject to wetting-drying and associated aerobic-anaerobic shift), increases the loss of nitrate via denitrification. In Oregon, decreased total nitrogen in streams was associated with increased stream flashiness that had resulted from urbanization (Waite et al. 2006).  </t>
    </r>
    <r>
      <rPr>
        <i/>
        <sz val="10"/>
        <rFont val="Arial Narrow"/>
        <family val="2"/>
        <scheme val="minor"/>
      </rPr>
      <t>In calculations, is excluded automatically (cell goes blank) if wetland never has surface water during an average year, or if none of it floods only seasonally.</t>
    </r>
  </si>
  <si>
    <r>
      <t xml:space="preserve">Wider vegetated areas provide more area for biological processing of nitrate, and for nitrate adsorbed to sediment particles in runoff to be filtered and deposited. The most comprehensive and sophisticated analysis that used statistical procedures (meta-analysis) to synthesize results from over 60 peer-reviewed studies of nitrate removal by buffers in temperate climates found that widths of approximately 10 ft, 92 ft, and 367 ft are needed to achieve 50%, 75%, and 90% removal efficiencies for nitrate (Mayer et al. 2005, Mayer et al. 2007). This assumed that most inputs are through subsurface flow. When surface flow dominates (as often occurs during storms, and where subsurface storm drains have been installed around homes), buffers of 109 ft, 387 ft, and 810 ft are needed to achieve the same removal efficiencies (Mayer et al. 2005).  </t>
    </r>
    <r>
      <rPr>
        <i/>
        <sz val="10"/>
        <rFont val="Arial Narrow"/>
        <family val="2"/>
        <scheme val="minor"/>
      </rPr>
      <t>In calculations, is excluded automatically (cell goes blank) if wetland never has surface water during an average year. Also is excluded automatically if wetland lacks open water or is &lt;0.01 ha.</t>
    </r>
  </si>
  <si>
    <r>
      <t>Ponded conditions provide longer time for nitrate processing, as well as causing sediments to lose oxygen, thus creating a microclimate favorable for denitrification.</t>
    </r>
    <r>
      <rPr>
        <i/>
        <sz val="10"/>
        <rFont val="Arial Narrow"/>
        <family val="2"/>
        <scheme val="minor"/>
      </rPr>
      <t xml:space="preserve"> In calculations, is excluded automatically (cell goes blank) if wetland never has surface water during an average year. Also is excluded automatically if wetland is &lt;0.01 ha.</t>
    </r>
  </si>
  <si>
    <r>
      <t xml:space="preserve">Plants take up nitrate from sediments and can facilitate retention if N is transferred to roots that are not as subject to erosion as foliage. Plants also facilitate sediment deposition by slowing the water, and some nitrate is associated with that sediment so is also deposited and potentially retained. Perhaps most importantly, roots of some plants oxidize the anoxic sediments that surround them and this facilitates denitrification, the major process for removing soluble nitrate from water.  </t>
    </r>
    <r>
      <rPr>
        <i/>
        <sz val="10"/>
        <rFont val="Arial Narrow"/>
        <family val="2"/>
        <scheme val="minor"/>
      </rPr>
      <t>In calculations, is excluded automatically (cell goes blank) if wetland never has surface water during an average year. Also is excluded automatically if wetland has no ponded water or is &lt;0.01 ha.</t>
    </r>
  </si>
  <si>
    <r>
      <t xml:space="preserve">Greater interspersion of open water and vegetation is hypothesized to support greater nitrate removal. That is because open water areas tend to be more aerobic, whereas densely vegetated areas often are anaerobic, except where plant roots oxidize a small part of the sediment. The combination of anaerobic and aerobic areas in close proximity facilitates nitrate loss through denitrification. </t>
    </r>
    <r>
      <rPr>
        <i/>
        <sz val="10"/>
        <rFont val="Arial Narrow"/>
        <family val="2"/>
        <scheme val="minor"/>
      </rPr>
      <t>In calculations, is excluded automatically (cell goes blank) if wetland never has surface water during an average year, if no ponded water, if ponded water but no vegetation, if ponded but no open water, or if &lt;0.01 ha.</t>
    </r>
  </si>
  <si>
    <r>
      <t xml:space="preserve">Like a constricted outlet, vegetation and other obstacles create a "roughness" within a wetland that can slow the water and allow more time for biological processing of nitrate. This is much truer if the vegetation intercepts a large proportion of the flow during high-flow periods (i.e., is not merely along an upland edge that never floods). Water takes longer to move through complex channel networks (e.g., braided or sinuous) which themselves provide additional friction, thus allowing more suspended sediment and the nitrate associated with it to be deposited. Increased channel complexity also implies greater interspersion of open water and vegetation (see above) and in some cases, more hyporheic flow -- both of which favor nitrate removal. Wetlands with a sheet flow pattern often retain more nitrate than channelized systems (Morris et al. 1981, Knox et al. 2008). </t>
    </r>
    <r>
      <rPr>
        <i/>
        <sz val="10"/>
        <rFont val="Arial Narrow"/>
        <family val="2"/>
        <scheme val="minor"/>
      </rPr>
      <t>In calculations, is excluded automatically (cell goes blank) if wetland never has surface water during an average year or if no surface inflows.</t>
    </r>
  </si>
  <si>
    <r>
      <t xml:space="preserve">Wetlands that lack outlets retain or remove all nitrate that enters them. Wetlands that connect to downslope water bodies for only part of the year may export less nitrate annually than those with persistent outflow.  </t>
    </r>
    <r>
      <rPr>
        <i/>
        <sz val="10"/>
        <rFont val="Arial Narrow"/>
        <family val="2"/>
        <scheme val="minor"/>
      </rPr>
      <t>In calculations, is excluded automatically (cell goes blank) if wetland never has surface water during an average year.</t>
    </r>
  </si>
  <si>
    <r>
      <t xml:space="preserve">Narrow outlets limit water outflow from a wetland and its downstream or downslope movement, thus causing water to back up into the wetland, which allows more time for nitrate to be processed. The types of outlets described here are ones that typically are more constricted than natural channels, which usually have adjusted over time to local runoff and thus are wider relative to volume of flow received. </t>
    </r>
    <r>
      <rPr>
        <i/>
        <sz val="10"/>
        <rFont val="Arial Narrow"/>
        <family val="2"/>
        <scheme val="minor"/>
      </rPr>
      <t xml:space="preserve"> In calculations, is excluded automatically (cell goes blank) if no outlet.</t>
    </r>
  </si>
  <si>
    <r>
      <t xml:space="preserve">Many studies have highlighted the importance of subsurface (hyporheic) flow, or groundwater discharge, to denitrification rates in both riverine (Clilverd et al. 2008) and non-riverine (e.g., Kroeger &amp; Charette 2008) wetlands. However, in some areas groundwater is a significant source of nitrogen.  </t>
    </r>
    <r>
      <rPr>
        <i/>
        <sz val="10"/>
        <rFont val="Arial Narrow"/>
        <family val="2"/>
        <scheme val="minor"/>
      </rPr>
      <t>In calculations, is excluded automatically (cell goes blank) if no evidence of groundwater influx; otherwise is rated based on response in column D.</t>
    </r>
  </si>
  <si>
    <t>Amphibians require upland habitat as well as aquatic habitat. Uplands that are dominated by natural vegetation usually provide the most suitable microclimates and habitat structure. Unvegetated or artificially vegetated surfaces can inhibit movements of some species to those  upland habitats. The type of non-natural land cover that surrounds a wetland can influence dispersal success of amphibians.  Unvegetated lands are usually the least suitable.  Clearcuts may be better but perhaps still not as suitable as natural cover on soils of similar productivity. Larger contiguous tracts of nearby natural land are more likely to meet the habitat needs of dispersing amphibians than small or fragmented patches.</t>
  </si>
  <si>
    <t>Predominant Width of Vegetated Zone within Wetland</t>
  </si>
  <si>
    <r>
      <rPr>
        <sz val="10"/>
        <rFont val="Arial Narrow"/>
        <family val="2"/>
        <scheme val="minor"/>
      </rPr>
      <t>Wetland vegetation promotes water loss via evapotranspiration and increased infiltration before that runoff contributes to downgradient flooding.</t>
    </r>
    <r>
      <rPr>
        <i/>
        <sz val="10"/>
        <rFont val="Arial Narrow"/>
        <family val="2"/>
        <scheme val="minor"/>
      </rPr>
      <t xml:space="preserve">  In calculations, is excluded automatically (cell goes blank) if wetland never has surface water during an average year.  Also is excluded automatically if wetland is &lt;0.01 ha.</t>
    </r>
  </si>
  <si>
    <t>Phosphorus is often adsorbed to soils, so if soils within a wetland are being disturbed or eroded, it is less likely the wetland will retain phosphorust on a net annual basis.</t>
  </si>
  <si>
    <t xml:space="preserve">If wetland not intersected by a mapped riparian area or floodplain, then cell turns blank (NULL) and is ignored in calculations rather than reducing the indicator score. </t>
  </si>
  <si>
    <t>VwidthAbs4</t>
  </si>
  <si>
    <t>SoilDisturb4</t>
  </si>
  <si>
    <t>Millar, J. B. 1971. Shoreline-area ratio as a factor in rate of water loss from small sloughs. Journal of Hydrology 14:259-284.</t>
  </si>
  <si>
    <t>Wetlands with a large Perimeter-Area Ratio have been reported to lose water faster via evapotranspiration (e.g., Millar 1971), thus providing new capacity for storing water more quickly.</t>
  </si>
  <si>
    <t>Although ice represents stored water, ice -- when it freezes all the waty to the bottom of a wetland or water body -- also forms a temporarily impervious barrier to infiltration.  Water temporarily stored by infiltration and groundwater recharge would otherwise be mostly unavailable as a contributor to downslope flooding.  During spring runoff, the volume of liquid water (runoff) that moves across the top of ice-covered wetlands (which are slower than uplands to thaw completely) and thus is slowed only slightly may be greater than the amount of fall and winter precipitation stored as ice (and eventually as infiltrate) within the wetland.</t>
  </si>
  <si>
    <t>Wetlands with large perimeter-to-area ratio tend to lose more water to evapotranspiration (Millar 1971) and so are less able to subsidize downstream flows.</t>
  </si>
  <si>
    <t>Pearl, C., M. Adams, N. Leuthold, and R. Bury. 2005. Amphibian occurrence and aquatic invaders in a changing landscape: implications for wetland mitigation in the Willamette Valley, Oregon, USA. Wetlands 25:76-88.</t>
  </si>
  <si>
    <t>Petranka, J. and E. Doyle. 2010. Effects of road salts on the composition of seasonal pond communities: can the use of road salts enhance mosquito recruitment? Aquatic Ecology 44:155-166.</t>
  </si>
  <si>
    <t>Stevens, C. E., C. A. Paszkowski, and G. J. Scrimgeour. 2006. Older is better: Beaver ponds on boreal streams as breeding habitat for the wood frog. Journal of Wildlife Management 70:1360-1371.</t>
  </si>
  <si>
    <r>
      <t>Sanzo, D. and S. J. Hecnar. 2006. Effects of road de-icing salt (NaCl) on larval wood frogs (</t>
    </r>
    <r>
      <rPr>
        <i/>
        <sz val="10"/>
        <rFont val="Arial Narrow"/>
        <family val="2"/>
      </rPr>
      <t>Rana sylvatica</t>
    </r>
    <r>
      <rPr>
        <sz val="10"/>
        <rFont val="Arial Narrow"/>
        <family val="2"/>
      </rPr>
      <t>). Environmental Pollution 140:247-256.</t>
    </r>
  </si>
  <si>
    <r>
      <t xml:space="preserve">Larson, D. L., S. McDonald, A. J. Fivizzani, W. E. Newton, and S. J. Hamilton. 1998. Effects of the herbicide atrazine on </t>
    </r>
    <r>
      <rPr>
        <i/>
        <sz val="10"/>
        <rFont val="Arial Narrow"/>
        <family val="2"/>
      </rPr>
      <t>Ambystoma tigrinum</t>
    </r>
    <r>
      <rPr>
        <sz val="10"/>
        <rFont val="Arial Narrow"/>
        <family val="2"/>
      </rPr>
      <t xml:space="preserve"> metamorphosis: Duration, larval growth, and hormonal response. Physiological Zoology 71:671-679.</t>
    </r>
  </si>
  <si>
    <t>Pollet, I. and L. I. Bendell-Young. 2000. Amphibians as indicators of wetland quality in wetlands forme from oil sands effluent. Environmental Toxicology and Chemistry 19:2589-2597.</t>
  </si>
  <si>
    <t>Brown, J. 2007. Groundwater and Biodiversity Conservation.  in: A. Wyers, A. Aldous, and L. Bach, editors. A Methods Guide for Integrating Groundwater Needs of Ecosystems and Species into Conservation Plans in the Pacific Northwest. The Nature Conservancy, Portland, OR.</t>
  </si>
  <si>
    <t>Populations of some amphibians (e.g., four-toed salamander) seem to thrive best in fishless wetlands. Predatory fish (especially, exotic species) can cause extirpations of native species (Pearl et al. 2005). However, wood frogs in Alberta foothill wetlands may be relatively unharmed if the fish that are present are only native (not stocked) species (Schank et al. 2011).</t>
  </si>
  <si>
    <t>Complex microtopography provides many suitable microclimates important to survival of adult amphibians during the late summer, fall, and winter (e.g., Browne &amp; Pazkowski 2010).</t>
  </si>
  <si>
    <r>
      <t>Langhans, M., B. Peterson, A. Walker, G. R. Smith, and J. E. Rettig. 2009. Effects of salinity on survivorship of wood frog (</t>
    </r>
    <r>
      <rPr>
        <i/>
        <sz val="10"/>
        <rFont val="Arial Narrow"/>
        <family val="2"/>
        <scheme val="minor"/>
      </rPr>
      <t>Rana sylvatica</t>
    </r>
    <r>
      <rPr>
        <sz val="10"/>
        <rFont val="Arial Narrow"/>
        <family val="2"/>
        <scheme val="minor"/>
      </rPr>
      <t>) tadpoles. Journal of Freshwater Ecology 24:335-337.</t>
    </r>
  </si>
  <si>
    <r>
      <t>Browne, C. L., and C. A. Paszkowski. 2010. Hibernation sites of western toads (</t>
    </r>
    <r>
      <rPr>
        <i/>
        <sz val="10"/>
        <rFont val="Arial Narrow"/>
        <family val="2"/>
      </rPr>
      <t>Anaxyrus boreas</t>
    </r>
    <r>
      <rPr>
        <sz val="10"/>
        <rFont val="Arial Narrow"/>
        <family val="2"/>
      </rPr>
      <t>): Characterization and management implications. Herpetological Conservation and Biology 5.1:49-63.</t>
    </r>
  </si>
  <si>
    <t>Arnold, T. W., L. M. Craig-Moore, L. M. Armstrong, D. W. Howerter, J. H. Devries, B. L. Joynt, R. B. Emery, and M. G. Anderson. 2007. Waterfowl use of dense nesting cover in the Canadian Parklands. Journal of Wildlife Management 71:2542-2549.</t>
  </si>
  <si>
    <t>Baschuk, M. 2010. Effects of water-level management on the abundance and habitat use of waterfowl and marsh birds in the Saskatchewan River Delta, Manitoba, Canada. Master's Thesis. University of Manitoba, Manitoba, Canada.</t>
  </si>
  <si>
    <t>Baschuk, M. S., N. Koper, D. A. Wrubleski, and G. Goldsborough. 2012. Effects of water depth, cover and food resources on habitat use of marsh birds and waterfowl in boreal wetlands of Manitoba, Canada. Waterbirds 35:44-55.</t>
  </si>
  <si>
    <t>Bayley, S. E., A. S. Wong, and J. E. Thompson. 2013. Effects of agricultural encroachment and drought on wetlands and shallow lakes in the boreal transition zone of Canada. Wetlands 33:17-28.</t>
  </si>
  <si>
    <r>
      <t>Bromley, C. K. and G.A. Hood. 2013. Beavers (</t>
    </r>
    <r>
      <rPr>
        <i/>
        <sz val="10"/>
        <rFont val="Arial Narrow"/>
        <family val="2"/>
      </rPr>
      <t>Castor canadensis</t>
    </r>
    <r>
      <rPr>
        <sz val="10"/>
        <rFont val="Arial Narrow"/>
        <family val="2"/>
      </rPr>
      <t>) facilitate early access by Canada geese (</t>
    </r>
    <r>
      <rPr>
        <i/>
        <sz val="10"/>
        <rFont val="Arial Narrow"/>
        <family val="2"/>
      </rPr>
      <t>Branta canadensis</t>
    </r>
    <r>
      <rPr>
        <sz val="10"/>
        <rFont val="Arial Narrow"/>
        <family val="2"/>
      </rPr>
      <t>) to nesting habitat and areas of open water in Canada's boreal wetlands. Mammalian Biology 78(1):73-77.</t>
    </r>
  </si>
  <si>
    <t>Forcey, G. M., W. E. Thogmartin, G. M. Linz, W. J. Bleier, and P. C. McKann. 2011. Land use and climate influences on waterbirds in the Prairie Potholes. Journal of Biogeography 38:1694-1707.</t>
  </si>
  <si>
    <t>Horn, D. J., M. L. Phillips, R. R. Koford, W. R. Clark, M. A. Sovada, and R. J. Greenwood. 2005. Landscape composition, patch size, and distance to edges: Interactions affecting duck reproductive success. Ecological Applications 15:1367-1376.</t>
  </si>
  <si>
    <t>Kaminski, R. M. and H. H. Prince. 1981. Dabbling duck and aquatic macro-invertebrate responses to manipulated wetland habitat. Journal of Wildlife Management 45:1–15.</t>
  </si>
  <si>
    <t>Naugle, D. E., K. F. Higgins, M. E. Estey, R. R. Johnson, and S. M. Nusser. 2000. Local and landscape-level factors influencing black tern habitat suitability. Journal of Wildlife Management 64:253-260.</t>
  </si>
  <si>
    <t>Rehm, E. M. and G. A. Baldassarre. 2007. The influence of interspersion on marsh bird abundance in New York. Wilson Journal of Ornithology 119:648-654.</t>
  </si>
  <si>
    <t>Thompson, S. J., T. W. Arnold, and S. Vacek. 2012. Impact of encroaching woody vegetation on nest success of upland nesting waterfowl. Journal of Wildlife Management 76:1635-1642.</t>
  </si>
  <si>
    <t>Murkin, H. R., R. M. Kaminski, and R. D. Titman. 1982. Responses by dabbling ducks and aquatic invertebrates to an experimentally manipulated cattail marsh. Canadian Journal of Zoology 60:2324-2332.</t>
  </si>
  <si>
    <t>Different waterbird species prefer different water depths, so a diversity of depth classes in a wetland is likely to support a more varied mix of waterbirds (Baschuk 2010, Baschuk et al. 2012).</t>
  </si>
  <si>
    <t>HU</t>
  </si>
  <si>
    <t>*</t>
  </si>
  <si>
    <t>Results for this Wetland Assessment Area (AA):</t>
  </si>
  <si>
    <t xml:space="preserve">AVERAGE(ThruFlo1, Gradient1, Girreg1, Constric1, IsoDry1, vwidth1) </t>
  </si>
  <si>
    <t>Through Flow Pattern</t>
  </si>
  <si>
    <r>
      <t>bumps into</t>
    </r>
    <r>
      <rPr>
        <b/>
        <sz val="10"/>
        <rFont val="Arial Narrow"/>
        <family val="2"/>
      </rPr>
      <t xml:space="preserve"> tree trunks and/or shrub stems </t>
    </r>
    <r>
      <rPr>
        <sz val="10"/>
        <rFont val="Arial Narrow"/>
        <family val="2"/>
      </rPr>
      <t>but mostly remains in fairly straight channels.</t>
    </r>
  </si>
  <si>
    <r>
      <t>bumps into</t>
    </r>
    <r>
      <rPr>
        <b/>
        <sz val="10"/>
        <rFont val="Arial Narrow"/>
        <family val="2"/>
      </rPr>
      <t xml:space="preserve"> herbaceous </t>
    </r>
    <r>
      <rPr>
        <sz val="10"/>
        <rFont val="Arial Narrow"/>
        <family val="2"/>
      </rPr>
      <t>vegetation and mostly spreads throughout, or is in widely  meandering, multi-branched, or braided channels.</t>
    </r>
  </si>
  <si>
    <r>
      <t>bumps into</t>
    </r>
    <r>
      <rPr>
        <b/>
        <sz val="10"/>
        <rFont val="Arial Narrow"/>
        <family val="2"/>
      </rPr>
      <t xml:space="preserve"> herbaceous </t>
    </r>
    <r>
      <rPr>
        <sz val="10"/>
        <rFont val="Arial Narrow"/>
        <family val="2"/>
      </rPr>
      <t>vegetation but mostly remains in fairly straight channels.</t>
    </r>
  </si>
  <si>
    <t>Interspersion of Robust Emergents &amp; Open Water</t>
  </si>
  <si>
    <t>AVERAGE(Provis21, Visibility, Core1PU, Core2PU, RecreaPot, BMPsoilsPU, BMPwildPU, Wells21)</t>
  </si>
  <si>
    <t>10*AVERAGE(Ownership, Invest21, Access, Use, Wet)</t>
  </si>
  <si>
    <r>
      <t>For an average person, walking is physically possible</t>
    </r>
    <r>
      <rPr>
        <u/>
        <sz val="10"/>
        <rFont val="Arial Narrow"/>
        <family val="2"/>
      </rPr>
      <t xml:space="preserve"> in</t>
    </r>
    <r>
      <rPr>
        <sz val="10"/>
        <rFont val="Arial Narrow"/>
        <family val="2"/>
      </rPr>
      <t xml:space="preserve"> (not just near) &gt;5% of the AA during most of the growing season, e.g., free of deep water and dense shrub thickets.</t>
    </r>
  </si>
  <si>
    <t>Specific Functions:</t>
  </si>
  <si>
    <t>Normalized Function Scores (ABWRET-A):</t>
  </si>
  <si>
    <t>Data  x  Weight</t>
  </si>
  <si>
    <t>Weight</t>
  </si>
  <si>
    <r>
      <t xml:space="preserve">This directly estimates the relative amount of vertical space in which precipitation and runoff are being stored, at least temporarily (Minke et al. 2010).  </t>
    </r>
    <r>
      <rPr>
        <i/>
        <sz val="10"/>
        <rFont val="Arial Narrow"/>
        <family val="2"/>
        <scheme val="minor"/>
      </rPr>
      <t>In calculations, is excluded automatically (cell goes blank) if wetland never has surface water during an average year.</t>
    </r>
  </si>
  <si>
    <t>Minke, A. G., C. J. Westbrook, and G. van der Kamp. 2010. Simplified volume-area-depth method for estimating water storage of prairie potholes. Wetlands 30:541-551.</t>
  </si>
  <si>
    <r>
      <t xml:space="preserve">Narrow outlets limit water outflow from a wetland and its downstream or downslope movement, thus increasing storage (Carter et al. 1979). Snowmelt and precipitation tend to be exported downstream more quickly from wetlands that have been drained (Lindsay et al. 2004). The types of outlets described here are ones that typically are more constricted than natural channels, which usually have adjusted over time to local runoff and thus are wider relative to volume of flow received.  </t>
    </r>
    <r>
      <rPr>
        <i/>
        <sz val="10"/>
        <rFont val="Arial Narrow"/>
        <family val="2"/>
        <scheme val="minor"/>
      </rPr>
      <t>In calculations, is excluded automatically (cell goes blank) if no outlet.</t>
    </r>
  </si>
  <si>
    <t>Lindsay, J. B., I. F. Creed, and F. D. Beall. 2004. Drainage basin morphometrics for depressional landscapes. Water Resources Research 40.</t>
  </si>
  <si>
    <t>Biswas, A., H. W. Chau, A. K. Bedard-Haughn, and B. C. Si. 2012. Factors controlling soil water storage in the hummocky landscape of the Prairie Pothole Region of North America. Canadian Journal of Soil Science 92:649-663.</t>
  </si>
  <si>
    <t>Gala, T. S., R. J. Trueman, and S. Carlyle. 2012. Soil hydrodynamics and controls in prairie potholes of central Canada. Area 44:305-316.</t>
  </si>
  <si>
    <r>
      <t xml:space="preserve">Wetlands fed constantly by groundwater are likely to have only limited subsurface storage space for storing additional precipitation (Biswas et al. 2012, Gala et al. 2012).  However, they may remain unfrozen for shorter periods. </t>
    </r>
    <r>
      <rPr>
        <i/>
        <sz val="10"/>
        <rFont val="Arial Narrow"/>
        <family val="2"/>
        <scheme val="minor"/>
      </rPr>
      <t xml:space="preserve"> In calculations, is excluded automatically (cell goes blank) if no strong evidence of groundwater (last choice).</t>
    </r>
  </si>
  <si>
    <t>Janisch, J. E., S. M. Wondzell, and W. J. Ehinger. 2012. Headwater stream temperature: Interpreting response after logging, with and without riparian buffers, Washington, USA. Forest Ecology and Management 270:302-313.</t>
  </si>
  <si>
    <t>Caldwell, J. E., K. Doughty, and K. Sullivan. 1991. Evaluation of downstream temperature effects of type 4/5 waters.Timber/Fish/Wildlife Rep. No. TFW -WQ5-91-004. Washington Department of Natural Resources, Olympia, WA.</t>
  </si>
  <si>
    <t>Lewis, D., M. J. Singer, R. A. Dahlgren, and K. W. Tate. 2000. Hydrology in a California oak woodland watershed: a 17-year study. Journal of Hydrology 240:106-117.</t>
  </si>
  <si>
    <t>Groundwater discharging into wetlands supports a wetland's capacity to cool surface runoff during summer because groundwater in most cases is cooler than surface water during that time (Mellina et al. 2002). For example, in higher-gradient intermittent headwater streams, the cooling effect of groundwater may be greater than that of shade (Janisch et al. 2012). Cooling effects may extend 50 m to 4 km downstream from an individual source of cooler water, depending on the temperature and discharge rate from the source relative to those of the receiving waters (Caldwell et al. 1991, Lewis et al. 2000).</t>
  </si>
  <si>
    <r>
      <t xml:space="preserve">Wetlands with greater water depth overall tend to have cooler outflows (depending on elevation of the outlet) because water depth provides insulation from solar warming. </t>
    </r>
    <r>
      <rPr>
        <i/>
        <sz val="10"/>
        <rFont val="Arial Narrow"/>
        <family val="2"/>
      </rPr>
      <t>In calculations, is excluded automatically (cell goes blank) if wetland never has surface water during an average year. Also is excluded automatically if wetland is &lt;0.01 ha.</t>
    </r>
  </si>
  <si>
    <r>
      <t xml:space="preserve">Suspended sediment is more likely to be filtered and stranded in vegetation if water levels fluctuate. However, in some soil types, large water level fluctuations (especially if artificially induced) cause erosion that results in more sediment being exported than retained. </t>
    </r>
    <r>
      <rPr>
        <i/>
        <sz val="10"/>
        <rFont val="Arial Narrow"/>
        <family val="2"/>
      </rPr>
      <t>In calculations, is excluded automatically (cell goes blank) if wetland never has surface water during an average year or if surface water is permanent (i.e., must have at least a seasonal-only zone in order to have water fluctuation).</t>
    </r>
  </si>
  <si>
    <r>
      <t xml:space="preserve">As the proportionate area of emergent and other aquatic plants increases, current velocity may be reduced (depending on the distribution of the plants relative to flow paths), and a larger proportion of the sediment may be intercepted, particularly if the wetland is not narrow. </t>
    </r>
    <r>
      <rPr>
        <i/>
        <sz val="10"/>
        <rFont val="Arial Narrow"/>
        <family val="2"/>
      </rPr>
      <t>In calculations, is excluded automatically (cell goes blank) if wetland never has surface water during an average year. Also is excluded automatically if wetland has no ponded water or is &lt;0.01 ha.</t>
    </r>
  </si>
  <si>
    <r>
      <t xml:space="preserve">Greater interspersion of open water and vegetation should allow more contact between plants and moving sediment-bearing water, resulting in greater deposition of suspended sediment. </t>
    </r>
    <r>
      <rPr>
        <i/>
        <sz val="10"/>
        <rFont val="Arial Narrow"/>
        <family val="2"/>
      </rPr>
      <t>In calculations, is excluded automatically (cell goes blank) if wetland never has surface water during an average year, if no ponded water, if ponded water but no vegetation, or if ponded but no open water.</t>
    </r>
  </si>
  <si>
    <r>
      <t xml:space="preserve">Like a constricted outlet, vegetation and other obstacles create a "roughness" within a wetland that can slow the water and allow sediment particles to be deposited. This is much truer if the vegetation intercepts a large proportion of the flow during high-flow periods (i.e., is not merely along an upland edge that never floods). Although tall and stiff vegetation provides the most resistance and thus sedimentation, it often tends to have less ground cover, so the net effect is uncertain in some wetlands. Water takes longer to move through complex channel networks (e.g., braided or sinuous) which themselves provide additional friction, thus allowing more suspended sediment to be deposited. The sinuosity is as much the result of sedimentation-erosion dynamics as it is the cause of them. Wetlands with a sheet flow pattern often retain more suspended solids than channelized systems (Morris et al. 1981). </t>
    </r>
    <r>
      <rPr>
        <i/>
        <sz val="10"/>
        <rFont val="Arial Narrow"/>
        <family val="2"/>
      </rPr>
      <t>In calculations, is excluded automatically (cell goes blank) if wetland never has surface water during an average year or if no surface inflows.</t>
    </r>
  </si>
  <si>
    <r>
      <t xml:space="preserve">Narrow outlets limit water outflow from a wetland and its downstream or downslope movement, thus causing water to back up into the wetland, which allows more time for suspended sediments to be deposited. The types of outlets described here are ones that typically are more constricted than natural channels. Natural channels usually have adjusted over time to local runoff and thus tend to be wider relative to volume of flow received. A restricting outlet in wetlands can reduce export of sediment (Amatya et al. 2003). </t>
    </r>
    <r>
      <rPr>
        <i/>
        <sz val="10"/>
        <rFont val="Arial Narrow"/>
        <family val="2"/>
      </rPr>
      <t>In calculations, is excluded automatically (cell goes blank) if no outlet.  In calculations, is excluded automatically (cell goes blank) if wetland has no surface water outlet.</t>
    </r>
  </si>
  <si>
    <r>
      <t xml:space="preserve">Wider vegetated areas provide more area for phosphorus adsorbed to sediment particles in runoff to be filtered and deposited. Where phosphorus is mainly attached to sediment (as often it is), then buffer widths sufficient for sediment retention (generally 10-30 ft) may be almost as effective for retaining phosphorus (White et al. 2007). But if phosphorus is mostly in dissolved form (orthophosphate, or soluble reactive phosphorus), then vegetated buffers may need to be very large or may not be effective at all (Prepas et al. 2001, Hoffman et al. 2009). </t>
    </r>
    <r>
      <rPr>
        <i/>
        <sz val="10"/>
        <rFont val="Arial Narrow"/>
        <family val="2"/>
      </rPr>
      <t>In calculations, is excluded automatically (cell goes blank) if wetland never has surface water during an average year, or no open water, or if wetland is &lt;0.01 ha..</t>
    </r>
  </si>
  <si>
    <r>
      <t xml:space="preserve">Greater interspersion of open water and vegetation is hypothesized to support greater sediment and phosphorus removal. That is because plants assist the deposition of suspended sediment which contains P, while open water areas tend to be more aerobic which immobilizes P in the deposited sediment. </t>
    </r>
    <r>
      <rPr>
        <i/>
        <sz val="10"/>
        <rFont val="Arial Narrow"/>
        <family val="2"/>
      </rPr>
      <t>In calculations, is excluded automatically (cell goes blank) if wetland never has surface water during an average year, if no ponded water, if ponded water but no vegetation, or if ponded but no open water.</t>
    </r>
  </si>
  <si>
    <r>
      <t xml:space="preserve">A proliferation of algae and floating aquatics can indicate that the wetland is receiving more nutrients than it is capable of processing effectively.  These non-rooted plants do not oxygenate the sediments, they take up and store nutrients only briefly, and their die-offs create anoxic conditions that mobilize phosphorus temporarily retained in sediments. In the calculations, abundant algae reduces the score but absence of blooms does not increase it. </t>
    </r>
    <r>
      <rPr>
        <i/>
        <sz val="10"/>
        <rFont val="Arial Narrow"/>
        <family val="2"/>
      </rPr>
      <t>In calculations, is excluded automatically (cell goes blank) if wetland never has surface water during an average year, or if wetland is &lt;0.01 ha.</t>
    </r>
  </si>
  <si>
    <r>
      <t xml:space="preserve">Like a constricted outlet, vegetation and other obstacles create a "roughness" within a wetland that can slow the water and allow phosphorus adsorbed to sediment particles to be deposited. This is much truer if the vegetation intercepts a large proportion of the flow during high-flow periods (i.e., is not merely along an upland edge that never floods). Although tall and stiff vegetation provides the most resistance and thus may be more effective at allowing sediment to be deposited, it often tends to have less ground cover, so the net effect is uncertain in some wetlands. Water takes longer to move through complex channel networks (e.g., braided or sinuous) which themselves provide additional friction, thus allowing more suspended sediment and the phosphorus associated with it to be deposited. Wetlands with a sheet flow pattern often retain more total phosphorus than channelized systems (Morris et al. 1981, Knox et al. 2008). </t>
    </r>
    <r>
      <rPr>
        <i/>
        <sz val="10"/>
        <rFont val="Arial Narrow"/>
        <family val="2"/>
      </rPr>
      <t>In calculations, is excluded automatically (cell goes blank) if wetland never has surface water during an average year or if no surface inflows.</t>
    </r>
  </si>
  <si>
    <r>
      <t xml:space="preserve">Wetlands that lack outlets retain all phosphorus that enters them. Wetlands that connect to downslope water bodies for only part of the year may export less phosphorus annually than those with persistent outflow. </t>
    </r>
    <r>
      <rPr>
        <i/>
        <sz val="10"/>
        <rFont val="Arial Narrow"/>
        <family val="2"/>
      </rPr>
      <t>In calculations, is excluded automatically (cell goes blank) if wetland never has surface water during an average year.</t>
    </r>
  </si>
  <si>
    <r>
      <t xml:space="preserve">Narrow outlets limit water outflow from a wetland and its downstream or downslope movement, thus causing water to back up into the wetland, which allows more time for sediments to be deposited and phosphorus to be processed. The types of outlets described here are ones that typically are more constricted than natural channels, which usually have adjusted over time to local runoff and thus are wider relative to volume of flow received. A restricting outlet in wetlands can reduce export of phosphorus (Amatya et al. 2003). </t>
    </r>
    <r>
      <rPr>
        <i/>
        <sz val="10"/>
        <rFont val="Arial Narrow"/>
        <family val="2"/>
      </rPr>
      <t>In calculations, is excluded automatically (cell goes blank) if no outlet.</t>
    </r>
  </si>
  <si>
    <t>Plants take up nitrate from sediments and can facilitate retention if N is transferred to roots that are not as subject to erosion as foliage. Plants also facilitate sediment deposition by slowing the water, and some nitrate is associated with that sediment so is also deposited and potentially retained. Perhaps most importantly, roots of some plants oxidize the anoxic sediments that surround them and this facilitates denitrification, the major process for removing soluble nitrate from water.</t>
  </si>
  <si>
    <t>Wetland vegetation is a primary source of the organic matter that is subject to export from wetlands.</t>
  </si>
  <si>
    <r>
      <t xml:space="preserve">Persistent surface water is essential to resident fish in isolated wetlands, and is important to resident fish even in wetlands that connect seasonally to other water bodies. </t>
    </r>
    <r>
      <rPr>
        <i/>
        <sz val="10"/>
        <rFont val="Arial Narrow"/>
        <family val="2"/>
      </rPr>
      <t>In calculations, is excluded automatically (cell goes blank) if wetland never has surface water during an average year.</t>
    </r>
    <r>
      <rPr>
        <sz val="10"/>
        <rFont val="Arial Narrow"/>
        <family val="2"/>
      </rPr>
      <t xml:space="preserve"> </t>
    </r>
  </si>
  <si>
    <r>
      <t xml:space="preserve">Shade helps maintain stable water temperatures favorable to resident fish. Vegetation associated with shading increases the availability of terrestrial insects that fall off the shading vegetation and into waters where they are fed upon by fish. However, shade also can reduce algal biomass and thus the abundance of aquatic insects fed upon by some resident fish. </t>
    </r>
    <r>
      <rPr>
        <i/>
        <sz val="10"/>
        <rFont val="Arial Narrow"/>
        <family val="2"/>
      </rPr>
      <t>In calculations, is excluded automatically (cell goes blank) if wetland never has surface water during an average year or if water is present only seasonally.</t>
    </r>
  </si>
  <si>
    <r>
      <t xml:space="preserve">Even if not connected to other water bodies, lakes are used extensively by resident fish, and lakeside wetlands provide shelter, rich feeding areas, and substrate for spawning by some species. </t>
    </r>
    <r>
      <rPr>
        <i/>
        <sz val="10"/>
        <rFont val="Arial Narrow"/>
        <family val="2"/>
      </rPr>
      <t>In calculations, is excluded automatically (cell goes blank) if wetland never has surface water during an average year or if water is present only seasonally.  If condition not met, then ignored in calculations rather than being counted as a negative.</t>
    </r>
  </si>
  <si>
    <r>
      <t xml:space="preserve">Most resident fish spend much of their time in deeper water because of the cover it provides. Wetlands with deeper water provide more habitat space. </t>
    </r>
    <r>
      <rPr>
        <i/>
        <sz val="10"/>
        <rFont val="Arial Narrow"/>
        <family val="2"/>
      </rPr>
      <t>In calculations, is excluded automatically (cell goes blank) if wetland never has surface water during an average year. Also is excluded automatically if wetland is &lt;0.01 ha.</t>
    </r>
  </si>
  <si>
    <r>
      <t>Large woody debris helps protect young fish from aerial predators and provides cooler water preferred by salmonids.</t>
    </r>
    <r>
      <rPr>
        <i/>
        <sz val="10"/>
        <rFont val="Arial Narrow"/>
        <family val="2"/>
      </rPr>
      <t xml:space="preserve"> In calculations, is excluded automatically (cell goes blank) if wetland never has surface water during an average year. Also is excluded automatically if wetland lacks open water or is &lt;0.01 ha.</t>
    </r>
  </si>
  <si>
    <r>
      <t>A mix of accessible ponded and flowing water is important to many fish species.</t>
    </r>
    <r>
      <rPr>
        <i/>
        <sz val="10"/>
        <rFont val="Arial Narrow"/>
        <family val="2"/>
      </rPr>
      <t xml:space="preserve"> In calculations, is excluded automatically (cell goes blank) if wetland is &lt;0.01 ha.</t>
    </r>
  </si>
  <si>
    <r>
      <t xml:space="preserve">Greater interspersion of open water with vegetation provides resident fish with greater access to food sources, such as insects falling off emergent plants. </t>
    </r>
    <r>
      <rPr>
        <i/>
        <sz val="10"/>
        <rFont val="Arial Narrow"/>
        <family val="2"/>
      </rPr>
      <t>In calculations, is excluded automatically (cell goes blank) if no ponded water, if ponded water but no vegetation, if ponded but no open water, or if &lt;0.01 ha.</t>
    </r>
  </si>
  <si>
    <r>
      <t xml:space="preserve">Although simple presence of fish does not necessarily indicate optimal habitat, their presence suggests that habitat suitability is at least minimal. </t>
    </r>
    <r>
      <rPr>
        <i/>
        <sz val="10"/>
        <rFont val="Arial Narrow"/>
        <family val="2"/>
      </rPr>
      <t>Is excluded from calculations (cell goes blank) automatically if wetland is &lt;0.01 ha.</t>
    </r>
  </si>
  <si>
    <r>
      <t>Wetlands in which surface water persists longer are capable of supporting a wider variety of invertebrates, e.g., those that require many months or years to complete their life cycle, as well as those that mature more rapidly. Thus, wetlands with a proportionately large extent of persistent water may benefit a wide range of aquatic invertebrates.  However, even wetlands that remain dry for years before reflooding can support aquatic invertebrates that have dormant eggs that remain viable during drought.  Reflooded wetlands also are quickly recolonised by flying aquatic insects.</t>
    </r>
    <r>
      <rPr>
        <i/>
        <sz val="10"/>
        <rFont val="Arial Narrow"/>
        <family val="2"/>
        <scheme val="minor"/>
      </rPr>
      <t xml:space="preserve"> In calculations, is excluded automatically (cell goes blank) if wetland never has surface water during an average year. </t>
    </r>
  </si>
  <si>
    <r>
      <t xml:space="preserve">The parts of a wetland that are inundated only seasonally may contain water long enough for many invertebrates to complete their life cycle, while providing fresh food resources (e.g., plant litter). They also tend to be shallower and less deficient in dissolved oxygen, making them suitable for a wider range of species. Seasonal fluctuations release nutrients bound up in wetland sediments, and stimulate the growth of new plants whose seeds have been dormant.  However, some invertebrate taxa, such as those without winged adult stages living in isolated wetlands (bog pools), may not survive prolonged desiccation. </t>
    </r>
    <r>
      <rPr>
        <i/>
        <sz val="10"/>
        <rFont val="Arial Narrow"/>
        <family val="2"/>
        <scheme val="minor"/>
      </rPr>
      <t>In calculations, is excluded automatically (cell goes blank) if wetland never has surface water during an average year.</t>
    </r>
  </si>
  <si>
    <r>
      <t xml:space="preserve">Provided that they hold surface water for several weeks, shallow areas support greater primary production, support higher vascular plant densities, and consequently greater invertebrate production. </t>
    </r>
    <r>
      <rPr>
        <i/>
        <sz val="10"/>
        <rFont val="Arial Narrow"/>
        <family val="2"/>
        <scheme val="minor"/>
      </rPr>
      <t>In calculations, is excluded automatically (cell goes blank) if wetland never has surface water during an average year. Also is excluded automatically if wetland is &lt;0.01 ha.</t>
    </r>
  </si>
  <si>
    <r>
      <t xml:space="preserve">Different invertebrate groups thrive at different water depths in boreal wetlands (Corcoran et al. 2009). Thus, a variety of depths may promote greater invertebrate richness for the wetland as a whole. </t>
    </r>
    <r>
      <rPr>
        <i/>
        <sz val="10"/>
        <rFont val="Arial Narrow"/>
        <family val="2"/>
        <scheme val="minor"/>
      </rPr>
      <t>In calculations, is excluded automatically (cell goes blank) if wetland never has surface water during an average year. Also is excluded automatically if wetland is &lt;0.01 ha.</t>
    </r>
  </si>
  <si>
    <r>
      <t xml:space="preserve">Emergent and submerged vegetation typically hosts extensive growths of epiphytic algae, which along with the supporting herbaceous plants, provide food and cover for a wide variety of invertebrates.  Intermediate cover conditions allow more light penetration of the water column, higher algal productivity, greater oxygenation, and thus tend to support a wide variety of invertebrate groups. </t>
    </r>
    <r>
      <rPr>
        <i/>
        <sz val="10"/>
        <rFont val="Arial Narrow"/>
        <family val="2"/>
        <scheme val="minor"/>
      </rPr>
      <t>In calculations, is excluded automatically (cell goes blank) if wetland never has surface water during an average year or has no ponded water or is &lt;0.01 ha.</t>
    </r>
  </si>
  <si>
    <r>
      <t xml:space="preserve">Greater invertebrate diversity overall may be supported by wetlands with a relatively even mix of open water and vegetation, interspersed throughout. Such conditions reflect a variety of light, temperature, and oxygen regimes as well as edge habitats (ecotones) that together provide more niches for invertebrates. </t>
    </r>
    <r>
      <rPr>
        <i/>
        <sz val="10"/>
        <rFont val="Arial Narrow"/>
        <family val="2"/>
        <scheme val="minor"/>
      </rPr>
      <t>In calculations, is excluded automatically (cell goes blank) if wetland never has surface water during an average year, if no ponded water, if ponded water but no vegetation, if ponded but no open water, or if &lt;0.01 ha.</t>
    </r>
  </si>
  <si>
    <r>
      <t xml:space="preserve">Diffuse flow paths and large spatial complexity of channels within a wetland support a wider variety of microhabitats for invertebrates, so should result in greater species richness. </t>
    </r>
    <r>
      <rPr>
        <i/>
        <sz val="10"/>
        <rFont val="Arial Narrow"/>
        <family val="2"/>
        <scheme val="minor"/>
      </rPr>
      <t>In calculations, is excluded automatically (cell goes blank) if wetland never has surface water during an average year or if no surface inflows.</t>
    </r>
  </si>
  <si>
    <r>
      <t>For invertebrates, groundwater provides a relatively steady input of nutrients that supports algal production. It also provides relatively warm temperatures and helps sustain low flows, thus increasing annual production of invertebrates (Brown et al. 2007).  However, where underlying geologic strata are iron-rich, groundwater discharge is accompanied by precipitation of iron "floc" in wetland sediment, smothering aquatic invertebrates and reducing their diversity.</t>
    </r>
    <r>
      <rPr>
        <i/>
        <sz val="10"/>
        <rFont val="Arial Narrow"/>
        <family val="2"/>
        <scheme val="minor"/>
      </rPr>
      <t xml:space="preserve"> In calculations, is excluded automatically (cell goes blank) if no evidence of groundwater influx; otherwise is rated based on response in column D.</t>
    </r>
  </si>
  <si>
    <r>
      <t xml:space="preserve">Downed wood provides food, cover, and a stable microclimate for many  invertebrates that live in soil and peat of wetlands that seldom flood. </t>
    </r>
    <r>
      <rPr>
        <i/>
        <sz val="10"/>
        <rFont val="Arial Narrow"/>
        <family val="2"/>
        <scheme val="minor"/>
      </rPr>
      <t>In calculations, is excluded automatically (cell goes blank) if woody vegetation occupies &lt;5% of the vegetated part of the AA.</t>
    </r>
  </si>
  <si>
    <r>
      <t xml:space="preserve">The second condition implies greater diversity of plants, which sometimes is associated with greater diversity of aquatic invertebrates.  </t>
    </r>
    <r>
      <rPr>
        <i/>
        <sz val="10"/>
        <rFont val="Arial Narrow"/>
        <family val="2"/>
        <scheme val="minor"/>
      </rPr>
      <t>In calculations, is excluded automatically (cell goes blank) if vegetation in the wetland is &lt;5% herbaceous.</t>
    </r>
  </si>
  <si>
    <t>UniqFenMarsh Swamp</t>
  </si>
  <si>
    <r>
      <t xml:space="preserve">Egg masses of many frogs and aquatic salamanders are more susceptible to stranding in wetlands with large water level fluctuations. </t>
    </r>
    <r>
      <rPr>
        <i/>
        <sz val="10"/>
        <rFont val="Arial Narrow"/>
        <family val="2"/>
        <scheme val="minor"/>
      </rPr>
      <t>In calculations, is excluded automatically (cell goes blank) if wetland never has surface water during an average year, or if none of it floods only seasonally.</t>
    </r>
  </si>
  <si>
    <r>
      <t xml:space="preserve">Wider bands of wetland vegetation help protect a wetland's open waters from contaminants carried in from adjoining uplands. Wider bands of wetland vegetation also provide better cover for young frogs and salamanders as they transition to upland nonbreeding areas. </t>
    </r>
    <r>
      <rPr>
        <i/>
        <sz val="10"/>
        <rFont val="Arial Narrow"/>
        <family val="2"/>
        <scheme val="minor"/>
      </rPr>
      <t>In calculations, is excluded automatically (cell goes blank) if wetland never has surface water during an average year or if wetland lacks open water or is &lt;0.01 ha.</t>
    </r>
  </si>
  <si>
    <r>
      <t xml:space="preserve">Large woody debris helps protect frogs and aquatic salamanders from aerial predators, and provides important basking sites. </t>
    </r>
    <r>
      <rPr>
        <i/>
        <sz val="10"/>
        <rFont val="Arial Narrow"/>
        <family val="2"/>
        <scheme val="minor"/>
      </rPr>
      <t>In calculations, is excluded automatically (cell goes blank) if wetland never has surface water during an average year, or has no open water, or  is &lt;0.01 ha.</t>
    </r>
  </si>
  <si>
    <r>
      <t xml:space="preserve">Unshaded open water areas potentially provide warmer conditions favored by many amphibians, while nearby areas with cover provide protection from predators. </t>
    </r>
    <r>
      <rPr>
        <i/>
        <sz val="10"/>
        <rFont val="Arial Narrow"/>
        <family val="2"/>
        <scheme val="minor"/>
      </rPr>
      <t>In calculations, is excluded automatically (cell goes blank) if wetland never has surface water during an average year, if no ponded water, if ponded water but no vegetation, if ponded but no open water, or if &lt;0.01 ha.</t>
    </r>
  </si>
  <si>
    <r>
      <t xml:space="preserve">Wetlands with substantial groundwater inputs tend to have more stable and reliable water levels, thus increasing the likelihood of amphibians breeding successfully.  Also, winter water temperatures are warmer than most receiving surface waters.  However, the cooler temperatures in summer associated with groundwater input may be less favorable to development of some amphibians. </t>
    </r>
    <r>
      <rPr>
        <i/>
        <sz val="10"/>
        <rFont val="Arial Narrow"/>
        <family val="2"/>
        <scheme val="minor"/>
      </rPr>
      <t>In calculations, is excluded automatically (cell goes blank) if no evidence of groundwater influx; otherwise is rated based on response in column D.</t>
    </r>
  </si>
  <si>
    <r>
      <t>Downed wood provides food, cover, and a stable microclimate for many salamanders.</t>
    </r>
    <r>
      <rPr>
        <i/>
        <sz val="10"/>
        <rFont val="Arial Narrow"/>
        <family val="2"/>
        <scheme val="minor"/>
      </rPr>
      <t xml:space="preserve"> In calculations, is excluded automatically (cell goes blank) if woody vegetation is &lt;5% of the vegetated part of the AA.</t>
    </r>
  </si>
  <si>
    <t>Bender, D. J., L. Tischendorf, and L. Fahrig. 2003. Evaluation of patch isolation metrics for predicting animal movement in binary landscapes. Landscape Ecology 18:17-39.</t>
  </si>
  <si>
    <r>
      <t xml:space="preserve">Beaver dam-building activities are highly beneficial to amphibian habitat, creating warmer stagnant pools and increasing the overall productivity of river systems.  Beaver ponds provide abundant submersed vegetation for attachment of eggs of frogs and salamanders, as well as cover for adults.  Presence of wood frog is highly correlated with beaver flowages in some parts of Alberta (Stevens et al. 2006, 2007). (Stevens et al. 2006, 2007).  </t>
    </r>
    <r>
      <rPr>
        <i/>
        <sz val="10"/>
        <rFont val="Arial Narrow"/>
        <family val="2"/>
        <scheme val="minor"/>
      </rPr>
      <t>In calculations, is excluded automatically (cell goes blank) if wetland never has surface water during an average year.</t>
    </r>
  </si>
  <si>
    <t>Browne, C. L., C. A. Paszkowski, A. L. Foote, A. Moenting, and S. M. Boss. 2009. The relationship of amphibian abundance to habitat features across spatial scales in the Boreal Plains. Ecoscience 16:209-223.</t>
  </si>
  <si>
    <r>
      <t xml:space="preserve">Surface water that persists for all or most of a year (and especially, during the early summer) provides more physical habitat for waterbirds. If no surface water persists, waterbird use can still be substantial if the wetland borders a lake or large river. </t>
    </r>
    <r>
      <rPr>
        <i/>
        <sz val="10"/>
        <rFont val="Arial Narrow"/>
        <family val="2"/>
      </rPr>
      <t xml:space="preserve">In calculations, is excluded automatically (cell goes blank) if wetland never has surface water during an average year. </t>
    </r>
  </si>
  <si>
    <r>
      <t xml:space="preserve">Lacustrine wetlands are especially attractive to nesting waterbirds, partly because of the variety of foods they provide, and the refuge that the large expanse of open water provides from terrestrial predators. However, nesting waterbird use of lakes may be less if there is frequent motorboat use. </t>
    </r>
    <r>
      <rPr>
        <i/>
        <sz val="10"/>
        <rFont val="Arial Narrow"/>
        <family val="2"/>
      </rPr>
      <t>If wetland is not part of a lake, then ignored in calculations rather than being counted as a negative.</t>
    </r>
  </si>
  <si>
    <r>
      <t xml:space="preserve">Most wetland birds tend to feed more in ponded areas than along channels. If these isolated pools areas persist well into the summer, they allow waterbird populations to establish more breeding territories within the site, as well as concentrating invertebrate foods. </t>
    </r>
    <r>
      <rPr>
        <i/>
        <sz val="10"/>
        <rFont val="Arial Narrow"/>
        <family val="2"/>
      </rPr>
      <t>In calculations, is excluded automatically (cell goes blank) if wetland never has surface water during an average year or is &lt;0.01 ha..</t>
    </r>
  </si>
  <si>
    <r>
      <t xml:space="preserve">Submersed and partly submersed vegetation is an essential food for many duck species, either directly or because of the higher densities of invertebrate foods that it supports (Epners et al. 2010). </t>
    </r>
    <r>
      <rPr>
        <i/>
        <sz val="10"/>
        <rFont val="Arial Narrow"/>
        <family val="2"/>
      </rPr>
      <t>In calculations, is excluded automatically (cell goes blank) if wetland never has surface water during an average year.  Also is excluded automatically if wetland has no ponded water or is &lt;0.01 ha..</t>
    </r>
  </si>
  <si>
    <r>
      <t>Waterbird nests located in narrow wetlands may be more vulnerable to predation.</t>
    </r>
    <r>
      <rPr>
        <i/>
        <sz val="10"/>
        <rFont val="Arial Narrow"/>
        <family val="2"/>
      </rPr>
      <t xml:space="preserve">  In calculations, is excluded automatically (cell goes blank) if wetland never has surface water during an average year or if wetland lacks open water or is &lt;0.01 ha.</t>
    </r>
  </si>
  <si>
    <r>
      <t xml:space="preserve">Interspersion of patches of open water amid patches of vegetation provides waterbirds with the best access to aquatic foods, and waterbird use of such wetlands has been shown to be significantly greater (Kaminski and Prince 1981, Murkin et al. 1982, Rehm &amp; Baldassarre 2007, Schummer et al. 2012, Bolenbaugh et al. 2011).  </t>
    </r>
    <r>
      <rPr>
        <i/>
        <sz val="10"/>
        <rFont val="Arial Narrow"/>
        <family val="2"/>
      </rPr>
      <t>In calculations, is excluded automatically (cell goes blank) if wetland never has surface water during an average year, if no ponded water, if ponded water but no vegetation, if ponded but no open water, or if &lt;0.01 ha.</t>
    </r>
  </si>
  <si>
    <r>
      <t xml:space="preserve">Fish are fed upon by several waterbird species, so their presence is considered generally beneficial.  However, one study found that breeding waterfowl density was twice as great in fishless lakes than in lakes with fish, after accounting for lake area, and some species occurred almost exclusively in fishless lakes (Epners et al. 2010).  </t>
    </r>
    <r>
      <rPr>
        <i/>
        <sz val="10"/>
        <rFont val="Arial Narrow"/>
        <family val="2"/>
      </rPr>
      <t>If wetland lacks fish or is &lt;0.01 ha, then ignored in calculations rather than being counted as a negative.</t>
    </r>
  </si>
  <si>
    <r>
      <t xml:space="preserve">Large-diameter trees are more important because of their potential to provide rookeries for herons and nest cavities for a few waterbird species, e.g., hooded merganser. Such trees may be used even when located a considerable distance from the wetland.  </t>
    </r>
    <r>
      <rPr>
        <i/>
        <sz val="10"/>
        <rFont val="Arial Narrow"/>
        <family val="2"/>
      </rPr>
      <t>In calculations, is excluded automatically (cell goes blank) if trees occupy &lt;5% of the vegetated part of the AA.  Otherwise, score is based on the  presence of the categories with the greatest weights, i.e., larger trees, which are more suitable as nest sites for herons, geese, and cavity-nesting ducks.</t>
    </r>
  </si>
  <si>
    <t>McLellen, B. R. and B. M. Shackleton. 1988. Grizzly bears and resource extraction industries: effects of road on behaviour, habitat use, and demography. Journal of Applied Ecology 25:451-460.</t>
  </si>
  <si>
    <t>Keller, C. M. E., C. S. Robbins, and J. S. Hatfield. 1993. Avian communities in riparian forests of different widths in Maryland and Delaware. Wetlands 13:137-144.</t>
  </si>
  <si>
    <t>Darveau, M., P. Beauchesne, L. Belanger, J. Huot, and P. Larue. 1995. Riparian forest strips as habitat for breeding birds in boreal forest. The Journal of Wildlife Management:67-78.</t>
  </si>
  <si>
    <t>Dickson, J. G., J. H. Williamson, R. N. Conner, and B. Ortega. 1995. Streamside zones and breeding birds in east Texas. Wildlife Society Bulletin 23:750-755.</t>
  </si>
  <si>
    <t>Hodges Jr, M. F. and D. G. Krementz. 1996. Neotropical migratory breeding bird communities in riparian forests of different widths along the Altamaha River, Georgia. The Wilson Bulletin:496-506.</t>
  </si>
  <si>
    <r>
      <t xml:space="preserve">Parts of wetlands that remain flooded most of the time will support fewer small mammals and songbirds. Wetlands with at least a little persistent water are important to aerially-foraging swallows, swifts, and flycatchers, as well as bats, muskrat, beaver, moose, and many other mammals. </t>
    </r>
    <r>
      <rPr>
        <i/>
        <sz val="10"/>
        <rFont val="Arial Narrow"/>
        <family val="2"/>
        <scheme val="minor"/>
      </rPr>
      <t xml:space="preserve">In calculations, is excluded automatically (cell goes blank) if wetland never has surface water during an average year. </t>
    </r>
  </si>
  <si>
    <r>
      <t xml:space="preserve">Open water lacks vertical structure and thus supports fewer songbird species than land, so a large proportion of open water in a wetland implies lower overall songbird richness. </t>
    </r>
    <r>
      <rPr>
        <i/>
        <sz val="10"/>
        <rFont val="Arial Narrow"/>
        <family val="2"/>
        <scheme val="minor"/>
      </rPr>
      <t>In calculations, is excluded automatically (cell goes blank) if wetland never has surface water during an average year.  Also is excluded automatically if wetland has no ponded water or is &lt;0.01 ha..</t>
    </r>
  </si>
  <si>
    <r>
      <t xml:space="preserve">Wider vegetated zones within wetlands provide more nesting space and structure for songbirds and mammals. Avian species richness and abundance increase with riparian width (Keller et al.1993; Darveau et al.1995; Dickson et al.1995; Hodges and Krementz 1996). Wider riparian buffers in British Columbia supported a greater density of deciduous trees important to wildlife diversity (Shirley 2004). The diversity of microhabitats within bogs and fens generally increases with increasing area, and vertebrate richness consequently increases (Desrochers &amp; van Duinen 2006). </t>
    </r>
    <r>
      <rPr>
        <i/>
        <sz val="10"/>
        <rFont val="Arial Narrow"/>
        <family val="2"/>
        <scheme val="minor"/>
      </rPr>
      <t>In calculations, is excluded automatically (cell goes blank) if wetland never has surface water during an average year or if wetland lacks open water or is &lt;0.01 ha.</t>
    </r>
  </si>
  <si>
    <r>
      <t xml:space="preserve">When water and vegetation (especially woody or other robust vegetation) are moderately interspersed, this provides more extensive feeding areas for many wetland-dependent songbirds and raptors. </t>
    </r>
    <r>
      <rPr>
        <i/>
        <sz val="10"/>
        <rFont val="Arial Narrow"/>
        <family val="2"/>
        <scheme val="minor"/>
      </rPr>
      <t>In calculations, is excluded automatically (cell goes blank) if wetland never has surface water during an average year, if no ponded water, if ponded water but no vegetation, if ponded but no open water, or if &lt;0.01 ha.</t>
    </r>
  </si>
  <si>
    <r>
      <t xml:space="preserve">Downed wood provides cover for many small mammals. Downed wood is often the result of natural windthrow, which also creates small patches of semi-open canopy within blocks of forest and in so doing can support a larger number of wildlife species, despite the temporary loss of nest trees (Zmihorski 2010).  </t>
    </r>
    <r>
      <rPr>
        <i/>
        <sz val="10"/>
        <rFont val="Arial Narrow"/>
        <family val="2"/>
        <scheme val="minor"/>
      </rPr>
      <t>In calculations, is excluded automatically (cell goes blank) if woody vegetation is &lt;5% of the vegetated part of the AA.</t>
    </r>
  </si>
  <si>
    <r>
      <t xml:space="preserve">Lack of one dominant shrub species suggests higher shrub richness, which has the potential to provide more food sources to more species throughout a season. </t>
    </r>
    <r>
      <rPr>
        <i/>
        <sz val="10"/>
        <rFont val="Arial Narrow"/>
        <family val="2"/>
        <scheme val="minor"/>
      </rPr>
      <t>In calculations, is excluded automatically (cell goes blank) if exposed shrub cover is &lt;5% of the vegetated part of the AA.</t>
    </r>
  </si>
  <si>
    <r>
      <t xml:space="preserve">Forbs are an important component of the foods that a wide variety of songbirds and mammals require. </t>
    </r>
    <r>
      <rPr>
        <i/>
        <sz val="10"/>
        <rFont val="Arial Narrow"/>
        <family val="2"/>
        <scheme val="minor"/>
      </rPr>
      <t>In calculations, is excluded automatically (cell goes blank) if herbaceous cover is &lt;5% of the vegetated cover.</t>
    </r>
  </si>
  <si>
    <r>
      <t xml:space="preserve">Multiple herb species, none strongly dominant, provide a wider range of foods throughout the growing season for wetland songbirds and mammals. </t>
    </r>
    <r>
      <rPr>
        <i/>
        <sz val="10"/>
        <rFont val="Arial Narrow"/>
        <family val="2"/>
        <scheme val="minor"/>
      </rPr>
      <t>Included in calculations only if herbaceous cover is &gt;5% of vegetated cover and second choice is answered positively.</t>
    </r>
  </si>
  <si>
    <r>
      <t xml:space="preserve">Human presence can attract crows and ravens, which prey on nests. </t>
    </r>
    <r>
      <rPr>
        <i/>
        <sz val="10"/>
        <rFont val="Arial Narrow"/>
        <family val="2"/>
        <scheme val="minor"/>
      </rPr>
      <t>In calculations, is excluded automatically (cell goes blank) if last choice in F59 was chosen AND first choice in F60 was chosen.</t>
    </r>
  </si>
  <si>
    <t>Gignac, L. D. and M. R. T. Dale. 2005. Effects of fragment size and habitat heterogeneity on cryptogram diversity in the low-boreal forest of western Canada. The Bryologist 108:50-66.</t>
  </si>
  <si>
    <t>Vitt, D. H. 2006. Functional characteristics and indicators of boreal peatlands. Pages 9-24 in R. K. Wieder and D. H. Vitt, editors. Boreal peatland ecosystems. Springer, Berlin, Heidelberg, GE.</t>
  </si>
  <si>
    <r>
      <t xml:space="preserve">Wetlands with less persistent surface water, i.e., more extensive areas that are saturated but lack surface water, or which flood only seasonally, tend to have greater plant species richness.  Wetlands that are entirely covered by persistent water can support only aquatic species, not the full suite of wetland-associated plants.  Disturbance from occasional floods opens the vegetation canopy (Pollack et al. 1998). Seasonal inundation brings in external nutrients to riverine wetlands, and in all wetlands is necessary for seed germination of many wetland plant species. </t>
    </r>
    <r>
      <rPr>
        <i/>
        <sz val="10"/>
        <rFont val="Arial Narrow"/>
        <family val="2"/>
      </rPr>
      <t xml:space="preserve">In calculations, is excluded automatically (cell goes blank) if wetland never has surface water during an average year. </t>
    </r>
  </si>
  <si>
    <r>
      <t xml:space="preserve">With regard to submersed aquatic plants, shallower areas generally have greater plant richness due to greater availability of light and sediment oxygen. </t>
    </r>
    <r>
      <rPr>
        <i/>
        <sz val="10"/>
        <rFont val="Arial Narrow"/>
        <family val="2"/>
      </rPr>
      <t>In calculations, is excluded automatically (cell goes blank) if wetland never has surface water during an average year or is &lt;0.01 ha.</t>
    </r>
  </si>
  <si>
    <r>
      <t xml:space="preserve">Greater plant diversity in wetlands is often associated with a well-mixed pattern of water and plants, e.g., the "hemi-marsh". This may optimise moisture, nutrients, and sunlight available to wetland plants.  Relatively even mixes of emergent plants and open water also imply that both submerged aquatics and emergents may be present, thus comprising greater diversity. </t>
    </r>
    <r>
      <rPr>
        <i/>
        <sz val="10"/>
        <rFont val="Arial Narrow"/>
        <family val="2"/>
      </rPr>
      <t>In calculations, is excluded automatically (cell goes blank) if wetland never has surface water during an average year, if no ponded water, if ponded water but no vegetation, if ponded but no open water, or if &lt;0.01 ha.</t>
    </r>
  </si>
  <si>
    <r>
      <t xml:space="preserve">Partly because of the greater nutrient levels and hydrologic stability of most groundwater, several plant species thrive best where a wetland's surface water originates most directly from groundwater (e.g., Radies et al. 2009). </t>
    </r>
    <r>
      <rPr>
        <i/>
        <sz val="10"/>
        <rFont val="Arial Narrow"/>
        <family val="2"/>
      </rPr>
      <t>In calculations, is excluded automatically (cell goes blank) if no evidence of groundwater influx; otherwise is rated based on response in column D.</t>
    </r>
  </si>
  <si>
    <r>
      <t xml:space="preserve">Downed wood adds microtopographic relief to wetlands and can serve as "nurse logs" that allow many plants to germinate with less competition or exposure to prolonged inundation.  This may increase plant richness within a site. Downed wood also provides nest or dormancy sites for many insect pollinators. </t>
    </r>
    <r>
      <rPr>
        <i/>
        <sz val="10"/>
        <rFont val="Arial Narrow"/>
        <family val="2"/>
      </rPr>
      <t>In calculations, is excluded automatically (cell goes blank) if woody vegetation is &lt;5% of the vegetated part of the AA.</t>
    </r>
  </si>
  <si>
    <r>
      <t xml:space="preserve">A dominance of common species usually implies overall reduction in plant species richness. </t>
    </r>
    <r>
      <rPr>
        <i/>
        <sz val="10"/>
        <rFont val="Arial Narrow"/>
        <family val="2"/>
      </rPr>
      <t>In calculations, is excluded automatically (cell goes blank) if exposed shrub cover is &lt;5% of the vegetated part of the AA.</t>
    </r>
  </si>
  <si>
    <r>
      <t xml:space="preserve">As a group, forbs tend to be more diverse than graminoids and thus contribute significantly to biodiversity within and among wetlands. </t>
    </r>
    <r>
      <rPr>
        <i/>
        <sz val="10"/>
        <rFont val="Arial Narrow"/>
        <family val="2"/>
      </rPr>
      <t>In calculations, is excluded automatically (cell goes blank) if herbaceous cover is &lt;5% of the vegetated cover.</t>
    </r>
  </si>
  <si>
    <r>
      <t xml:space="preserve">Wetlands not dominated a one or two plant species are, by definition, more diverse. </t>
    </r>
    <r>
      <rPr>
        <i/>
        <sz val="10"/>
        <rFont val="Arial Narrow"/>
        <family val="2"/>
      </rPr>
      <t>Included in calculations only if herbaceous cover is &gt;5% of vegetated cover and second choice is answered positively.</t>
    </r>
  </si>
  <si>
    <r>
      <t xml:space="preserve">Some types of surrounding land cover are more likely to produce propagules of invasive plants that may reduce native plant richness in an adjoining wetland. </t>
    </r>
    <r>
      <rPr>
        <i/>
        <sz val="10"/>
        <rFont val="Arial Narrow"/>
        <family val="2"/>
      </rPr>
      <t>In calculations, is excluded automatically (cell goes blank) if natural cover in the buffer (see above) is &gt;90%.</t>
    </r>
  </si>
  <si>
    <t>PondedOWpct PD</t>
  </si>
  <si>
    <t>Halpern, C. B. and T. A. Spies. 1995. Plant-species diversity in natural and managed forests of the Pacific-Northwest. Ecological Applications 5:913-934.</t>
  </si>
  <si>
    <t>Chavez, V. and S. E. Macdonald. 2010. The influence of canopy patch mosaics on understory plant community composition in boreal mixedwood forest. Forest Ecology and Management 259:1067-1075.</t>
  </si>
  <si>
    <t>Chipman, S. J. and E. A. Johnson. 2002. Understory vascular plant species diversity in the mixedwood boreal forest of western Canada. Ecological Applications 12:588-601.</t>
  </si>
  <si>
    <t>Benscoter, B. W. and D. H. Vitt. 2008. Spatial patterns and temporal trajectories of the bog ground layer along a post-fire chronosequence. Ecosystems 11:1054-1064.</t>
  </si>
  <si>
    <t>PondedOW pct21</t>
  </si>
  <si>
    <r>
      <t xml:space="preserve">Extensive mats of algae or duckweed are unsightly to most people and discourage recreational use, as well as sometimes posing a health risk. </t>
    </r>
    <r>
      <rPr>
        <i/>
        <sz val="10"/>
        <rFont val="Arial Narrow"/>
        <family val="2"/>
      </rPr>
      <t>In calculations, is excluded automatically (cell goes blank) if wetland never has surface water during an average year.  Also is excluded automatically if wetland has no ponded water or is &lt;0.01 ha..</t>
    </r>
  </si>
  <si>
    <r>
      <t>These provide evidence of direct use of a wetland's resources.</t>
    </r>
    <r>
      <rPr>
        <i/>
        <sz val="10"/>
        <rFont val="Arial Narrow"/>
        <family val="2"/>
      </rPr>
      <t xml:space="preserve"> If any of these uses are present the indicator gets a score of 1.</t>
    </r>
  </si>
  <si>
    <t>Depending on local geology, some wetlands recharge groundwater or at least reflect local water table levels. In doing so they may indirectly support wells that provide drinking water to nearby residences.</t>
  </si>
  <si>
    <r>
      <t xml:space="preserve">These represent prior investment of public funds which would be nullified if wetland was destroyed. </t>
    </r>
    <r>
      <rPr>
        <i/>
        <sz val="10"/>
        <rFont val="Arial Narrow"/>
        <family val="2"/>
      </rPr>
      <t>Score is the sum of the first 3 choices divided by 3.</t>
    </r>
  </si>
  <si>
    <r>
      <t>Although shade can limit aquatic productivity and thus the amount of carbon subject to export, this indicator more importantly describes the proximity of vegetation to water, and thus the potential for detritus to be exported.</t>
    </r>
    <r>
      <rPr>
        <i/>
        <sz val="10"/>
        <rFont val="Arial Narrow"/>
        <family val="2"/>
        <scheme val="minor"/>
      </rPr>
      <t xml:space="preserve"> In calculations, is excluded automatically (cell goes blank) if wetland never has surface water during an average year or if water is present only seasonally.</t>
    </r>
  </si>
  <si>
    <r>
      <t xml:space="preserve">Prolonged inundation can stifle plant productivity, whereas seasonal inundation encourages it, and is often associated with conditions that contribute to the export of organic matter, e.g., river floods. Seasonally high water levels promote decomposition (Bayley &amp; Mewhort, 2004) and thus facilitate the export of carbon. </t>
    </r>
    <r>
      <rPr>
        <i/>
        <sz val="10"/>
        <rFont val="Arial Narrow"/>
        <family val="2"/>
        <scheme val="minor"/>
      </rPr>
      <t>In calculations, is excluded automatically (cell goes blank) if wetland never has surface water during an average year.</t>
    </r>
  </si>
  <si>
    <r>
      <t xml:space="preserve">Dynamic water levels in wetlands with outlets usually imply more productive wetlands and greater export of organic matter, whereas stable water levels typically imply less export. However, if water level fluctuations are too severe (e.g., greater than plant height) production of organic matter can diminish. </t>
    </r>
    <r>
      <rPr>
        <i/>
        <sz val="10"/>
        <rFont val="Arial Narrow"/>
        <family val="2"/>
        <scheme val="minor"/>
      </rPr>
      <t>In calculations, is excluded automatically (cell goes blank) if wetland never has surface water during an average year, or if none of it floods only seasonally.</t>
    </r>
  </si>
  <si>
    <r>
      <t xml:space="preserve">Flowing rather than ponded waters provide the most opportunity for organic matter to be exported from wetlands.  In boreal regions, flowing waters also tend to be more productive. </t>
    </r>
    <r>
      <rPr>
        <i/>
        <sz val="10"/>
        <rFont val="Arial Narrow"/>
        <family val="2"/>
        <scheme val="minor"/>
      </rPr>
      <t>In calculations, is excluded automatically (cell goes blank) if wetland never has surface water during an average year. Also is excluded automatically if wetland is &lt;0.01 ha.</t>
    </r>
  </si>
  <si>
    <r>
      <t xml:space="preserve">The probability that organic matter from wetland plants will be exported increases in relation to the percent of the inundated area containing such plants, provided some outflow paths exist. </t>
    </r>
    <r>
      <rPr>
        <i/>
        <sz val="10"/>
        <rFont val="Arial Narrow"/>
        <family val="2"/>
        <scheme val="minor"/>
      </rPr>
      <t>In calculations, is excluded automatically (cell goes blank) if wetland never has surface water during an average year. Also is excluded automatically if wetland has no ponded water or is &lt;0.01 ha.</t>
    </r>
  </si>
  <si>
    <r>
      <t xml:space="preserve">The plant material from narrower (fringe) wetlands is often more vulnerable to transport into adjoining waters. However, wider wetlands represent larger total stores of organic matter available for waterborne export downstream or offsite, and export can occur during infrequent but extreme floods (Pacific et al. 2010). </t>
    </r>
    <r>
      <rPr>
        <i/>
        <sz val="10"/>
        <rFont val="Arial Narrow"/>
        <family val="2"/>
        <scheme val="minor"/>
      </rPr>
      <t>In calculations, is excluded automatically (cell goes blank) if wetland never has surface water during an average year. Also is excluded automatically if wetland lacks open water or is &lt;0.01 ha.</t>
    </r>
  </si>
  <si>
    <r>
      <t xml:space="preserve">Interspersion of open water with vegetation would seem to promote greater export of organic matter from the vegetation or accumulated organic soils. </t>
    </r>
    <r>
      <rPr>
        <i/>
        <sz val="10"/>
        <rFont val="Arial Narrow"/>
        <family val="2"/>
        <scheme val="minor"/>
      </rPr>
      <t>In calculations, is excluded automatically (cell goes blank) if wetland never has surface water during an average year, if no ponded water, if ponded water but no vegetation, if ponded but no open water, or if &lt;0.01 ha.</t>
    </r>
  </si>
  <si>
    <r>
      <t xml:space="preserve">Increased channel complexity implies greater interspersion of open water and vegetation, which provides more opportunity for organic matter to be in contact with moving water and thus be exported. </t>
    </r>
    <r>
      <rPr>
        <i/>
        <sz val="10"/>
        <rFont val="Arial Narrow"/>
        <family val="2"/>
        <scheme val="minor"/>
      </rPr>
      <t>In calculations, is excluded automatically (cell goes blank) if wetland never has surface water during an average year or if no surface inflows.</t>
    </r>
  </si>
  <si>
    <r>
      <t xml:space="preserve">Narrow outlets limit water outflow from a wetland and its downstream or downslope movement, thus limiting export of organic matter. The types of outlets described here are ones that typically are more constricted than natural channels, which usually have adjusted over time to local runoff and thus are wider relative to volume of flow received. </t>
    </r>
    <r>
      <rPr>
        <i/>
        <sz val="10"/>
        <rFont val="Arial Narrow"/>
        <family val="2"/>
        <scheme val="minor"/>
      </rPr>
      <t>In calculations, is excluded automatically (cell goes blank) if no outlet.</t>
    </r>
  </si>
  <si>
    <t>Indicators from Estimator</t>
  </si>
  <si>
    <t>Indicators from Onsite Visit</t>
  </si>
  <si>
    <t xml:space="preserve">The capacity to support an abundance and diversity of native fish species.  </t>
  </si>
  <si>
    <t>Open water does not restrict fish movements, whereas in vegetated wetlands (especially Bog, Fen, Swamp) fish movements are partly or completely restricted by lack of water or water that is often too shallow.</t>
  </si>
  <si>
    <t>Yoder, C. O., R. J. Miltner, and D. White. 1999. Assessing the Status of Aquatic Life Designated Uses in Urban and Suburban Watersheds. Pages 16-28 in A. Everson et al., editor. Proceedings of National Conference on Retrofit Opportunities for Water Resource Protection in Urban Environments. Chicago, IL February 9-12, 1998. Technology Transfer and Support Division, National Risk Management Research Laboratory, Office of Research and Development, U.S. Environmental Protection Agency, Cincinnati, Ohio.</t>
  </si>
  <si>
    <t>Horwitz, R. J., T. E. Johnson, P. F. Overbeck, T. K. O'Donnell, W. C. Hession, and B. W. Sweeney. 2008. Effects of riparian vegetation and watershed urbanization on fishes in streams of the mid-Atlantic Piedmont (USA). Journal of the American Water Resources Association 44:724-741.</t>
  </si>
  <si>
    <t>Hornung, J. and A. L. Foote. 2006. Aquatic invertebrate responses to fish presence and vegetation complexity in western boreal wetlands, with implications for Waterbird productivity. Wetlands 26:1-12.</t>
  </si>
  <si>
    <t>See OF 8 above.</t>
  </si>
  <si>
    <r>
      <t>Poulin, J.-F., M.-A. Villard, M. Edman, P. J. Goulet, and A.-M. Eriksson. 2008. Thresholds in nesting habitat requirements of an old forest specialist, the brown creeper (</t>
    </r>
    <r>
      <rPr>
        <i/>
        <sz val="10"/>
        <rFont val="Arial Narrow"/>
        <family val="2"/>
        <scheme val="minor"/>
      </rPr>
      <t>Certhia americana</t>
    </r>
    <r>
      <rPr>
        <sz val="10"/>
        <rFont val="Arial Narrow"/>
        <family val="2"/>
        <scheme val="minor"/>
      </rPr>
      <t>), as conservation targets. Biological Conservation 141:1129-1137.</t>
    </r>
  </si>
  <si>
    <r>
      <t>Wood, W. E. and S. M. Yezerinac. 2006. Song sparrow (</t>
    </r>
    <r>
      <rPr>
        <i/>
        <sz val="10"/>
        <rFont val="Arial Narrow"/>
        <family val="2"/>
        <scheme val="minor"/>
      </rPr>
      <t>Melospiza melodia</t>
    </r>
    <r>
      <rPr>
        <sz val="10"/>
        <rFont val="Arial Narrow"/>
        <family val="2"/>
        <scheme val="minor"/>
      </rPr>
      <t>) song varies with urban noise. Auk 123:650-659.</t>
    </r>
  </si>
  <si>
    <t xml:space="preserve">St. Clair, C. C., M. Bélisle, A. Desrochers, and S. Hannon. 1998. Winter responses of forest birds to habitat corridors and gaps. Conservation Ecology Online: http://www.consecol.org/vol2/iss2/art13/. </t>
  </si>
  <si>
    <t>Native Plant &amp; Pollinator Habitat</t>
  </si>
  <si>
    <t>Native Plant &amp; Pollinator Habitat (PH)</t>
  </si>
  <si>
    <t>Baldwin, L. K. and G. E. Bradfield. 2005. Bryophyte community differences between edge and interior environments in temperate rain-forest fragments of coastal British Columbia. Canadian Journal of Forest Research 35:580-592.</t>
  </si>
  <si>
    <t>Windspeed at 30m above land surface in summer, average for years 1958-2000.  Minimum resolvable unit is 2500 ha. Incomplete data coverage for RWVAUs 15 and 21.  From Environment Canada.</t>
  </si>
  <si>
    <r>
      <t xml:space="preserve">Hogg, E. H. and V. J. Lieffers. 1991. The impact of </t>
    </r>
    <r>
      <rPr>
        <i/>
        <sz val="10"/>
        <rFont val="Arial Narrow"/>
        <family val="2"/>
        <scheme val="minor"/>
      </rPr>
      <t>Calamagrostis canadensis</t>
    </r>
    <r>
      <rPr>
        <sz val="10"/>
        <rFont val="Arial Narrow"/>
        <family val="2"/>
        <scheme val="minor"/>
      </rPr>
      <t xml:space="preserve"> on soil thermal regimes after logging in northern Alberta. Canadian Journal of Forest Research 21:387-394.</t>
    </r>
  </si>
  <si>
    <t>Boët, P., Belliard J, Berrebi, T.R. 1999. Multiple human impacts by the City of Paris on fish communities in the Seine River Basin, France. Hydrobiologia 410:59-68.</t>
  </si>
  <si>
    <t>Leaves of nitrogen-fixing plants such as alder have been shown to support higher densities and richness of aquatic and terrestrial invertebrates (Wipfli et al. 2007, Wipfli &amp; Musselwhite 2004).</t>
  </si>
  <si>
    <r>
      <t xml:space="preserve">The importance of large wood to aquatic life has been widely documented in perennial streams (literature reviewed by Murphy 1995, May 2003, Wenger 2000) and in lakes (Roth et al. 2007). Many aquatic invertebrates attach to submerged wood and feed on algae and leaves associated with it. Constructed wetlands to which woody debris is added may support greater biomass or richness of several aquatic invertebrate groups (e.g., Alsfeld et al. 2009). Most instream wood originates in the parts of the riparian areas that are within 100 ft of a stream (McDade et al. 1990, Van Sickle &amp; Gregory 1990, Robison &amp; Beschta 1990, Meleason et al. 2003). </t>
    </r>
    <r>
      <rPr>
        <i/>
        <sz val="10"/>
        <rFont val="Arial Narrow"/>
        <family val="2"/>
        <scheme val="minor"/>
      </rPr>
      <t>In calculations, is excluded automatically (cell goes blank) if wetland never has surface water during an average year, or has no open water, or  is &lt;0.01 ha.</t>
    </r>
  </si>
  <si>
    <r>
      <t xml:space="preserve">Tree cavities needed by many nesting songbirds and mammals are found mostly in dead standing trees (snags) and larger-diameter trees, which are more likely to have bole entries, conks, abundant mistletoe, and dead tops (Bakker &amp; Hastings 2002.) Larger-diameter stands also tend to be older and provide more structure useful to a variety of songbirds and mammals. Tall snags are especially useful to raptors as hunting perches. A mixture of tree species, especially mixtures that include aspen, is necessary to sustain populations of most boreal woodpecker species [Drever &amp; Martin 2010]. Deer need a diversity of forest types and ages (both clear-cut and old growth) near each other within their home ranges. </t>
    </r>
    <r>
      <rPr>
        <i/>
        <sz val="10"/>
        <rFont val="Arial Narrow"/>
        <family val="2"/>
        <scheme val="minor"/>
      </rPr>
      <t>In calculations, is excluded automatically (cell goes blank) if trees occupy &lt;5% of the vegetated part of the AA.  Otherwise, score is based on the number of categories and a weighted average that favors larger deciduous trees.</t>
    </r>
    <r>
      <rPr>
        <sz val="10"/>
        <rFont val="Arial Narrow"/>
        <family val="2"/>
        <scheme val="minor"/>
      </rPr>
      <t xml:space="preserve">
</t>
    </r>
  </si>
  <si>
    <r>
      <t xml:space="preserve">Small mammals moving between wetlands are less likely to have their movements disrupted by lands with residual cover than in lands with impervious surface. </t>
    </r>
    <r>
      <rPr>
        <i/>
        <sz val="10"/>
        <rFont val="Arial Narrow"/>
        <family val="2"/>
        <scheme val="minor"/>
      </rPr>
      <t>In calculations, is excluded automatically (cell goes blank) if natural cover in the buffer (see above) is &gt;90%.</t>
    </r>
  </si>
  <si>
    <t>Shirley, S. 2004. The influence of habitat diversity and structure on bird use of riparian buffer strips in coastal forests of British Columbia, Canada. Canadian Journal of Forest Research 34:1499-1510.</t>
  </si>
  <si>
    <t>Alder often occurs in mildly disturbed settings, and through its ability to increase soil fertility by fixing nitrogen, can increase the diversity and abundance of understory plants (Deal 1997). However, as alder stands age, they form a closed canopy which can block light and reduce understory plant richness.</t>
  </si>
  <si>
    <t>Flatter wetlands are more likely than steep ones to slow runoff, facilitating more deposition of suspended matter. Ground cover becomes more important to sediment stabilization in wetlands on slopes. A Pennsylvania study found that slope wetlands tended to have the lowest sediment accretion rates of any wetland type (HGM class) (Wardrop &amp; Brooks 1998).</t>
  </si>
  <si>
    <t>Jeffries, K. M., E. R. Nelson, L. J. Jackson, and H. R. Habibi. 2008. Basin-wide impacts of compounds with estrogen-like activity on longnose dace (Rhinichthys cataractae) in two prairie rivers of Alberta, Canada. Environmental Toxicology and Chemistry 27:2042-2052.</t>
  </si>
  <si>
    <t>Nicholson, B. J. 1995. The wetlands of Elk Island National Park: Vegetation classification, water chemistry, and hydrotopographic relationships. Wetlands 15:119-133.</t>
  </si>
  <si>
    <r>
      <t xml:space="preserve">Wetlands with naturally fluctuating water levels tend to have greater plant species richness (Nicholson 1995, Pollack et al. 1998). Duration, frequency, and timing of inundation may be more important than magnitude of fluctuation, but cannot be estimated during a single visit to an ungaged wetland. Prolonged deep flooding can reduce plant species richness (Bayley &amp; Guimond 2009). </t>
    </r>
    <r>
      <rPr>
        <i/>
        <sz val="10"/>
        <rFont val="Arial Narrow"/>
        <family val="2"/>
      </rPr>
      <t>In calculations, is excluded automatically (cell goes blank) if wetland never has surface water during an average year, or if none of it floods only seasonally.</t>
    </r>
  </si>
  <si>
    <t>Value Score (ABWRET_a)</t>
  </si>
  <si>
    <t>Value Category (a, b, c, d)</t>
  </si>
  <si>
    <t>Abundance Factor</t>
  </si>
  <si>
    <t>Water Quality (WQ)</t>
  </si>
  <si>
    <t>Ecological Health (EH)</t>
  </si>
  <si>
    <t>Human Use (HU)</t>
  </si>
  <si>
    <t>1 (yes) or 0 (no) based on official designation.</t>
  </si>
  <si>
    <t>Aspect within +/- 45 degrees of north gets a 1, Aspect within +/- 45 degrees of sourth gets a 0, all others get a 0.5.  From the DEM.</t>
  </si>
  <si>
    <t>From Alberta Merged Wetland Inventory map layer.</t>
  </si>
  <si>
    <t>1 (yes) or 0 (no).  From FWMIS database.</t>
  </si>
  <si>
    <t>1 (yes) or 0 (no).  From FWMIS map layer.</t>
  </si>
  <si>
    <t>MAX of: (UniqFen, UniqMarsh, UniqBog, UniqSwamp). From Alberta Merged Wetland Inventory map layer.</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</si>
  <si>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</si>
  <si>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</si>
  <si>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</si>
  <si>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</si>
  <si>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</si>
  <si>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</si>
  <si>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</si>
  <si>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</si>
  <si>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</si>
  <si>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</si>
  <si>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</si>
  <si>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</si>
  <si>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</si>
  <si>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</si>
  <si>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</si>
  <si>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</si>
  <si>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</si>
  <si>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</si>
  <si>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</si>
  <si>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</si>
  <si>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</si>
  <si>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</si>
  <si>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</si>
  <si>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</si>
  <si>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</si>
  <si>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</si>
  <si>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</si>
  <si>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</si>
  <si>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</si>
  <si>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</si>
  <si>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</si>
  <si>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</si>
  <si>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</si>
  <si>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</si>
  <si>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</si>
  <si>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</si>
  <si>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</si>
  <si>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</si>
  <si>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</si>
  <si>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</si>
  <si>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</si>
  <si>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Hydrological Health (HH)</t>
  </si>
  <si>
    <t>RWVAU #</t>
  </si>
  <si>
    <t xml:space="preserve">#  </t>
  </si>
  <si>
    <t>Sum=</t>
  </si>
  <si>
    <t xml:space="preserve">If any items were checked above, then for each row of the table below, you may assign points.  However, if you believe the checked items did not cumulatively expose the AA to significantly higher levels of contaminants and/or salts, then leave the "0's" for the scores in the following rows.  To estimate effects, contrast the current condition with the condition if the checked items never occurred or were no longer present. </t>
  </si>
  <si>
    <t xml:space="preserve">If any items were checked above, then for each row of the table below, you may assign points.  However, if you believe the checked items did not cumulatively expose the AA to significantly more nutrients, then leave the "0's" for the scores in the following rows.  To estimate effects, contrast the current condition with the condition if the checked items never occurred or were no longer present. </t>
  </si>
  <si>
    <t xml:space="preserve">If any items were checked above, then for each row of the table below, you may assign points (3, 2, or 1 as shown in header) in the last column.  However, if you believe the checked items did not cumulatively add significantly more sediment or suspended solids to the AA, then leave the "0's" for the scores in the following rows.  To estimate effects, contrast the current condition with the condition if the checked items never occurred or were no longer present. </t>
  </si>
  <si>
    <t xml:space="preserve">If any items were checked above, then for each row of the table below, you may assign points.  However, if you believe the checked items did not measurably alter the soil structure and/or topography, then leave the "0's" for the scores in the following rows.  To estimate effects, contrast the current condition with the condition if the checked items never occurred or were no longer present. </t>
  </si>
  <si>
    <t>Quinton, W. L. and D. M. Gray. 2003. Subsurface drainage from organic soils in permafrost terrain: the major factors to be represented in a runoff model. In: W. Haeberli and D. Brandova, editors. Eighth International Conference on Permafrost. Glaciology and Geomorphodynamics Group, Geography Department, University of Zurich Switzerland Davos, Switzerland.</t>
  </si>
  <si>
    <t>Floodplain and riparian areas that flood only occasionally are  important to fish during the brief times of flooding, as shelter from strong currents and because they provide terrestrial invertebrate foods that fall from vegetation or are flushed out of newly flooded soils.</t>
  </si>
  <si>
    <r>
      <t xml:space="preserve">The eggs and larvae of many frogs and aquatic salamanders can easily be harmed by excessive ultraviolet radiation.  Aquatic plants may provide some degree of shelter from such radiation, as well as providing attachment surfaces for eggs. </t>
    </r>
    <r>
      <rPr>
        <i/>
        <sz val="10"/>
        <rFont val="Arial Narrow"/>
        <family val="2"/>
        <scheme val="minor"/>
      </rPr>
      <t>In calculations, is excluded automatically (cell goes blank) if wetland never has surface water during an average year.  Also is excluded automatically if wetland has no ponded water or is &lt;0.01 ha</t>
    </r>
  </si>
  <si>
    <t>Invasive species comprise 5-20% of the herb cover (or woody cover, if the invasives are woody).</t>
  </si>
  <si>
    <t>pH Measurement</t>
  </si>
  <si>
    <t>Burn History</t>
  </si>
  <si>
    <t>Beaver dams are important for maintaining invertebrate assemblages characteristic of streams in  low-gradient boreal settings, and this diversifies the regional invertebrate fauna (Clifford 1972).</t>
  </si>
  <si>
    <r>
      <t xml:space="preserve">Large water level fluctuations during the nesting season (late spring and early summer), can flood the nests of birds that nest along wetland edges. However, moderate fluctuations can stimulate wetland productivity and are not necessarily detrimental to nesting waterbirds (Found et al. 2008).  Annual fluctuations (described by this indicator) do not necessarily parallel propensity of water levels to fluctuate during the nesting season. </t>
    </r>
    <r>
      <rPr>
        <i/>
        <sz val="10"/>
        <rFont val="Arial Narrow"/>
        <family val="2"/>
      </rPr>
      <t>In calculations, is excluded automatically (cell goes blank) if wetland never has surface water during an average year, or if none of it floods only seasonally.</t>
    </r>
  </si>
  <si>
    <t xml:space="preserve">Groundwater provides a relatively steady input of nutrients (from weathering of geologic formations) that supports algal production and the invertebrate foods important to resident fish. It also provides relatively warm temperatures that can maintain ice-free conditions for longer, and helps sustain water levels and low flows, thus increasing annual production. However, the "flocs" created by the presence of iron oxidizing bacteria in some instances cause groundwater to be deficient in oxygen that is critical to resident fish, especially when this occurs under winter ice cover.  </t>
  </si>
  <si>
    <r>
      <t xml:space="preserve">See above.  </t>
    </r>
    <r>
      <rPr>
        <i/>
        <sz val="10"/>
        <rFont val="Arial Narrow"/>
        <family val="2"/>
      </rPr>
      <t>In calculations, is excluded automatically (cell goes blank) if last choice in F59 was chosen AND first choice in F60 was chosen.</t>
    </r>
  </si>
  <si>
    <t>Presence of contaminant sources suggests the potential for long-term harm to songbird and raptor populations as a result of direct toxicity; sublethal effects (e.g., Gentes et al. 2007); and altered food sources.</t>
  </si>
  <si>
    <t xml:space="preserve">Aquatic invertebrate communities (both benthic and planktonic) are harmed by excessive sedimentation and turbidity from sediment runoff. Sediment from timber-harvest activity (clearings and roads) community composition and abundance of stream invertebrates (Campbell et al. 2011). Following timber harvests, the deposition of fine sediment can limit populations of grazing invertebrates even when algal foods become more available (Kiffney &amp; Bull 2000). </t>
  </si>
  <si>
    <t>Dense vegetation offers frictional resistance to runoff, promoting deposition of organic nitrogen and resisting erosion. Vegetation takes up nitrate at least seasonally and plant roots can promote denitrification by providing a carbon source and oxidizing otherwise anoxic subsurface soils.  However, shade from plants reduces soil temperature (Hayhoe &amp; Tarnocai 1992) which slows the denitrification rate (Hogg &amp; Lieffers 1991), and emissions of harmful nitrous oxide can be greater in wetlands with denser vegetation.</t>
  </si>
  <si>
    <r>
      <t>Deeper water in a wetland or pond implies greater water volume overall to potentially feed downslope streams.</t>
    </r>
    <r>
      <rPr>
        <i/>
        <sz val="10"/>
        <rFont val="Arial Narrow"/>
        <family val="2"/>
      </rPr>
      <t xml:space="preserve"> In calculations, is excluded automatically (cell goes blank) if wetland never has surface water during an average year.  Also is excluded automatically if wetland is &lt;0.01 ha.</t>
    </r>
  </si>
  <si>
    <t xml:space="preserve">Other factors being equal, larger wetlands may be more likely to experience greater water loss per unit area via evaporation and infiltration, due to higher potential for wind and solar exposure.  </t>
  </si>
  <si>
    <t>Donnelly, R. and J. M. Marzluff. 2006. Relative importance of habitat quantity, structure, and spatial pattern to birds in urbanizing environments. Urban Ecosystems 9:99-117.</t>
  </si>
  <si>
    <t>Vegetation can reduce evaporative water loss by reducing wind and solar exposure.  For example,  ponds typical of Alberta's boreal region evaporate at a rate more than twice that of the adjacent peatlands (Petrone et al. 2007). However, in drier areas, some types of wetand vegetation may more often increase water loss via transpiration.This indicator describes the area of vegetation, not the proportion of a wetland that is vegetated.</t>
  </si>
  <si>
    <r>
      <rPr>
        <sz val="10"/>
        <rFont val="Arial Narrow"/>
        <family val="2"/>
        <scheme val="minor"/>
      </rPr>
      <t xml:space="preserve">Unvegetated (open) water is susceptible to removal via evaporation due to increased exposure to wind and warming sunlight. This is particularly true in warmer and drier parts of Alberta and where such waters overlie coarse-grained substrates.  In such areas, exposed waters act as evaporation windows to groundwater, exposing regional aquifers to significant water losses (Smerdon et al. 2005), leading to unsaturated conditions which increase the capacity to store additional precipitation. </t>
    </r>
    <r>
      <rPr>
        <i/>
        <sz val="10"/>
        <rFont val="Arial Narrow"/>
        <family val="2"/>
        <scheme val="minor"/>
      </rPr>
      <t xml:space="preserve"> In calculations, is excluded automatically (cell goes blank) if wetland never has surface water during an average year.  Also is excluded automatically if wetland is &lt;0.01 ha.</t>
    </r>
  </si>
  <si>
    <t>Headwater wetlands are more likely than lowland wetlands to be in a position to measurably influence water volume and persistence in downgradient channels.  They also are more likely to be groundwater discharge areas (Schmidt et al. 2010) capable of sustaining late season stream flow.</t>
  </si>
  <si>
    <t>Wetlands that comprise a larger proportion of their watershed are more likely to have measurable effect on downgradient waters.  They also are more likely to be groundwater discharge areas (Schmidt et al. 2010) capable of sustaining late season stream flow.</t>
  </si>
  <si>
    <t>Fens in boreal regions are typically groundwater discharge areas (Boelter &amp; Verry 1977) and such discharge is more seasonally stable and thus more likely to contribute water late in the season when streamflow otherwise can be low (McEachern et al. 2000). As well, some bogs discharge capillary water if outets are present, and thus potentially influence low flows (Siegal 1988).  Near-surface moisture in organic soils (i.e., bogs and fens) is conserved relative to mineral uplands during extended dry periods, due to reduced transmissivity of their peat, ice storage, reduced evapotranspiration, and low vertical unsaturated moisture transport (Silins and Rothwell 1998). Water tables in riparian wetlands typically fluctuate with river levels, and so are not likely to contribute much water during low flow conditions. Wooded swamps lose water via transpiration, but retain it by shading the ground and reducing evaporation.</t>
  </si>
  <si>
    <r>
      <t xml:space="preserve">Deeper waters usually imply slower water velocity, longer water detention time that allows for gravity settling of suspended sediments (Wiklund et al. 2012), more space for storing deposited sediments over time, and reduced likelihood of deposited sediments being resuspended by wind mixing or currents (Evans &amp; Rigler 1983, Nolen et al. 1985). However, vegetation density is usually greater in shallow wetlands, providing other opportunities to filter and stabilize (with roots systems) suspended sediments. </t>
    </r>
    <r>
      <rPr>
        <i/>
        <sz val="10"/>
        <rFont val="Arial Narrow"/>
        <family val="2"/>
      </rPr>
      <t>In calculations, is excluded automatically (cell goes blank) if wetland never has surface water during an average year. Also is excluded automatically if wetland is &lt;0.01 ha.</t>
    </r>
  </si>
  <si>
    <t>Constructed (and some restored) wetlands -- especially those in gravel pits (Harper &amp; Kershaw 1997) -- typically have lower soil organic matter (Shaffer &amp; Ernst 1999), and that deficit limits denitrification that otherwise removes nitrate. Thus, new wetlands would be expected to be less able to process the nitrate they receive, releasing it instead to downstream waters. However, the proportion of incoming nitrate that is exported in some cases is greater in soils that are more fertile, i.e., nearing nitrate saturation, with a C:N ratio lower than 25 (e.g., Gundersen et al. 2006).</t>
  </si>
  <si>
    <r>
      <t xml:space="preserve">Frequent, long-duration, and/or high flooding scours organic debris, thereby removing nutrients from  a wetland (Poff et al. 1997).  Streams are an important transporter of protein-rich, labile DOM in temperate watersheds (Fellman et al. 2009). Thus, annual export of accumulated organic matter to downstream water can be greater in wetlands with outlets, especially those with persistent outflow.  Nonetheless, even wetlands that lack outlets may export variable amounts of dissolved carbon via subsurface infiltration and "pipes" created by decayed subsurface peat and tree roots which cannot be evaluated in a rapid assessment. </t>
    </r>
    <r>
      <rPr>
        <i/>
        <sz val="10"/>
        <rFont val="Arial Narrow"/>
        <family val="2"/>
        <scheme val="minor"/>
      </rPr>
      <t>In calculations, is excluded automatically (cell goes blank) if wetland never has surface water during an average year.</t>
    </r>
  </si>
  <si>
    <t xml:space="preserve">Soil organic matter is slow to accumulate in constructed wetlands (Alsfeld et al. 2009), especially those created in borrow pits (Harper &amp; Kershaw 1997), so less is likely to be available for export. </t>
  </si>
  <si>
    <t xml:space="preserve">The extent of surface water in a lake or fish-accessible wetland is one of the strongest predictors of overwinter fish survival in Alberta (Paszkowski &amp; Tonn 2000). </t>
  </si>
  <si>
    <t>At least for northern pike, fire may be beneficial by decreasing the density of streamside vegetation, resulting in better spawning and rearing habitat over the long term (Cott et al. 2010). Fire creates snags that provide important cover for fish when they fall into streams and wetlands (Jones &amp; Daniels 2008) during the 40+ years post-fire required for recovery of forests that normally are the main source of LWD.</t>
  </si>
  <si>
    <t xml:space="preserve">Aquatic macroinvertebrate communities are negatively associated with agricultural land in a catchment but positively associated with forested land or other perennial cover in areas closest to a stream or wetland (Steedman 1988, Wang et al. 1997).
</t>
  </si>
  <si>
    <t>Larger wetlands and ponds are used disproportionately by some species of nesting waterbirds. Smaller identical wetlands of equal cumulative area probably support lower numbers and less cumulative richness of waterbirds, unless they are close together and connected with corridors of undeveloped land (Paszkowski &amp; Tonn 2000).</t>
  </si>
  <si>
    <r>
      <t xml:space="preserve">Waterfowl nests on islands that are inaccessible to mammalian predators are more successful (Loekmoen &amp; Woodward 1992, Fournier &amp; Hines 2001). </t>
    </r>
    <r>
      <rPr>
        <i/>
        <sz val="10"/>
        <rFont val="Arial Narrow"/>
        <family val="2"/>
      </rPr>
      <t xml:space="preserve"> If wetland does not contain an island or is &lt;0.01 ha, then ignored in calculations rather than being counted as a negative.</t>
    </r>
  </si>
  <si>
    <t xml:space="preserve">In herbaceous wetlands, the type of adjoining upland cover is very important to many nesting waterbird species (Horn et al. 2005, Found et al. 2008, Kuczynski &amp; Paszkowski 2010, Bayley et al. 2013). Most upland-nesting waterfowl nest within about 1000 ft of wetlands. Maintaining natural vegetation (especially dense native grasslnd) in such areas makes it difficult for predators to find nests. </t>
  </si>
  <si>
    <r>
      <t xml:space="preserve">Beaver impoundments, especially after they are abandoned and revert to early successional shrubs, are very species-rich in animal life compared with other land cover types (Grover &amp; Baldassarre 1995, Aznar &amp; Desrochers 2008).  In Alberta, they are disproportionately selected by river otter (Reid et al.1994).  </t>
    </r>
    <r>
      <rPr>
        <i/>
        <sz val="10"/>
        <rFont val="Arial Narrow"/>
        <family val="2"/>
        <scheme val="minor"/>
      </rPr>
      <t>In calculations, is excluded automatically (cell goes blank) if wetland never has surface water during an average year.</t>
    </r>
  </si>
  <si>
    <t xml:space="preserve">Road corridors are a significant vector for non-native plants that can reduce native plant richness if they invade nearby wetlands. Roads directly promote exotic plant establishment via vehicle dispersal (Schmidt 1989) or disturbance during road construction and maintenance (Safford and Harrison 2001). Roads also promote exotic plant establishment via intentional seeding of soil-stabilizing exotic plants along road verges or in disturbed areas near roads.  Moss and lichen species richness in Alberta woodlands is reduced up to 15m from roads and other woodland edges due to changes in temperature, humidity, nutrients, and light intensity (Gignac et al. 1991, Gignac and Dale 2005).  
</t>
  </si>
  <si>
    <r>
      <t xml:space="preserve">Beaver impoundments increase richness of wetland plants locally, especially a few years after they are abandoned (Pollock et al. 1998, Wright et al. 2002, 2003; Martell et al. 2006, Bayley &amp; Guimond 2008, Hood &amp; Bayley 2008). </t>
    </r>
    <r>
      <rPr>
        <i/>
        <sz val="10"/>
        <rFont val="Arial Narrow"/>
        <family val="2"/>
      </rPr>
      <t>In calculations, is excluded automatically (cell goes blank) if wetland never has surface water during an average year.</t>
    </r>
  </si>
  <si>
    <t>Inflowing streams (and especially, spill-over of water from rivers into floodplains) bring plant propagules that can sprout and diversify wetland plant communities. As well, they bring in nutrients which are concentrated by evaporation in floodplain wetlands once seasonal connections with rivers are natually severed as water levels drop (Lesack et al. 1998) . Those nutrients potentially spur growth and diversification of many wetland-associated plants (Ogbebo et al. 2009) but annual spillover flooding from rivers may not be essential to maintaining high nutrient concentrations in some of Alberta's floodplain wetlands (Wiklund et al. 2012).  Indeed, many boreal ponds and wetlands with less river connectivity tend to have higher nutrient concentrations, higher alkalinity, and higher concentrations of dissolved organic matter (Wolfe et al. 2005).  Flood waters from rivers also bring more sediment into floodplain lakes and wetlands (Wolfe et al. 2005, Pavelsky &amp; Smith 2009), which often decreases their aquatic plant biomass (Sokal et al. 2010) and perhaps richness (Bayley &amp; Guimond 2008), depending on other factors.</t>
  </si>
  <si>
    <t>Scientific Name</t>
  </si>
  <si>
    <t>Common Name</t>
  </si>
  <si>
    <t>Wetland-associated?</t>
  </si>
  <si>
    <t>Agrostis exarata</t>
  </si>
  <si>
    <t>spike redtop</t>
  </si>
  <si>
    <t>Anemone quinquefolia</t>
  </si>
  <si>
    <t>wood anemone</t>
  </si>
  <si>
    <t>Arabidopsis salsuginea</t>
  </si>
  <si>
    <t>mouse-ear cress</t>
  </si>
  <si>
    <t>Arctagrostis arundinacea</t>
  </si>
  <si>
    <t>polar grass</t>
  </si>
  <si>
    <t>Artemisia borealis</t>
  </si>
  <si>
    <t>northern wormwood</t>
  </si>
  <si>
    <t>Astragalus bodinii</t>
  </si>
  <si>
    <t>Bodin's milk vetch</t>
  </si>
  <si>
    <t>Blysmus rufus</t>
  </si>
  <si>
    <t>Red Bulrush</t>
  </si>
  <si>
    <t>Bolboschoenus fluviatilis</t>
  </si>
  <si>
    <t>river bulrush</t>
  </si>
  <si>
    <t>Boschniakia rossica</t>
  </si>
  <si>
    <t>ground-cone</t>
  </si>
  <si>
    <t>Botrychium ascendens</t>
  </si>
  <si>
    <t>ascending grape fern</t>
  </si>
  <si>
    <t>Botrychium crenulatum</t>
  </si>
  <si>
    <t>scalloped grapefern</t>
  </si>
  <si>
    <t>Botrychium hesperium</t>
  </si>
  <si>
    <t>western grape fern</t>
  </si>
  <si>
    <t>Botrychium lanceolatum</t>
  </si>
  <si>
    <t>lance-leaved grape fern</t>
  </si>
  <si>
    <t>Botrychium matricariifolium</t>
  </si>
  <si>
    <t>chamomile grape-fern</t>
  </si>
  <si>
    <t>Botrychium michiganense</t>
  </si>
  <si>
    <t>Michigan grapefern</t>
  </si>
  <si>
    <t>Botrychium oneidense</t>
  </si>
  <si>
    <t>blunt-lobe grape-fern</t>
  </si>
  <si>
    <t>Botrychium pallidum</t>
  </si>
  <si>
    <t>pale moonwort</t>
  </si>
  <si>
    <t>Botrychium pinnatum</t>
  </si>
  <si>
    <t>northwestern grapefern</t>
  </si>
  <si>
    <t>Botrychium simplex</t>
  </si>
  <si>
    <t>dwarf grape fern</t>
  </si>
  <si>
    <t>Botrychium spathulatum</t>
  </si>
  <si>
    <t>spatulate grape fern</t>
  </si>
  <si>
    <t>Boykinia heucheriformis</t>
  </si>
  <si>
    <t>telesonix</t>
  </si>
  <si>
    <t>Brasenia schreberi</t>
  </si>
  <si>
    <t>watershield</t>
  </si>
  <si>
    <t>Calamagrostis lapponica</t>
  </si>
  <si>
    <t>Lapland reed grass</t>
  </si>
  <si>
    <t>Campanula aparinoides</t>
  </si>
  <si>
    <t>marsh bellflower</t>
  </si>
  <si>
    <t>Cardamine parviflora</t>
  </si>
  <si>
    <t>small bitter cress</t>
  </si>
  <si>
    <t>Carex adusta</t>
  </si>
  <si>
    <t>browned sedge</t>
  </si>
  <si>
    <t>Carex arcta</t>
  </si>
  <si>
    <t>narrow sedge</t>
  </si>
  <si>
    <t>Carex heleonastes</t>
  </si>
  <si>
    <t>Hudson Bay sedge</t>
  </si>
  <si>
    <t>Carex hystericina</t>
  </si>
  <si>
    <t>porcupine sedge</t>
  </si>
  <si>
    <t>Carex lacustris</t>
  </si>
  <si>
    <t>lakeshore sedge</t>
  </si>
  <si>
    <t>Carex mertensii</t>
  </si>
  <si>
    <t>purple sedge</t>
  </si>
  <si>
    <t>Carex oligosperma</t>
  </si>
  <si>
    <t>few-fruited sedge</t>
  </si>
  <si>
    <t>Carex pedunculata</t>
  </si>
  <si>
    <t>stalked sedge</t>
  </si>
  <si>
    <t>Carex podocarpa</t>
  </si>
  <si>
    <t>alpine sedge</t>
  </si>
  <si>
    <t>Carex scoparia</t>
  </si>
  <si>
    <t>broom sedge</t>
  </si>
  <si>
    <t>Carex supina</t>
  </si>
  <si>
    <t>weak sedge</t>
  </si>
  <si>
    <t>Carex umbellata</t>
  </si>
  <si>
    <t>umbellate sedge</t>
  </si>
  <si>
    <t>Carex vulpinoidea</t>
  </si>
  <si>
    <t>fox sedge</t>
  </si>
  <si>
    <t>Chrysosplenium iowense</t>
  </si>
  <si>
    <t>golden saxifrage</t>
  </si>
  <si>
    <t>Cypripedium acaule</t>
  </si>
  <si>
    <t>stemless lady's-slipper</t>
  </si>
  <si>
    <t>Cystopteris montana</t>
  </si>
  <si>
    <t>mountain bladder fern</t>
  </si>
  <si>
    <t>Danthonia spicata</t>
  </si>
  <si>
    <t>poverty oat grass</t>
  </si>
  <si>
    <t>Deschampsia elongata</t>
  </si>
  <si>
    <t>slender hair grass</t>
  </si>
  <si>
    <t>Diphasiastrum sitchense</t>
  </si>
  <si>
    <t>ground-fir</t>
  </si>
  <si>
    <t>Draba porsildii</t>
  </si>
  <si>
    <t>Porsild's whitlow-grass</t>
  </si>
  <si>
    <t>Dryopteris cristata</t>
  </si>
  <si>
    <t>crested shield fern</t>
  </si>
  <si>
    <t>Dryopteris filix-mas</t>
  </si>
  <si>
    <t>male fern</t>
  </si>
  <si>
    <t>Elatine triandra</t>
  </si>
  <si>
    <t>waterwort</t>
  </si>
  <si>
    <t>Eleocharis elliptica</t>
  </si>
  <si>
    <t>slender spikerush</t>
  </si>
  <si>
    <t>Elodea bifoliata</t>
  </si>
  <si>
    <t>two-leaved waterweed</t>
  </si>
  <si>
    <t>Elodea canadensis</t>
  </si>
  <si>
    <t>Canada waterweed</t>
  </si>
  <si>
    <t>Epilobium clavatum</t>
  </si>
  <si>
    <t>willowherb</t>
  </si>
  <si>
    <t>Epilobium halleanum</t>
  </si>
  <si>
    <t>Epilobium lactiflorum</t>
  </si>
  <si>
    <t>Epilobium leptocarpum</t>
  </si>
  <si>
    <t>Epilobium saximontanum</t>
  </si>
  <si>
    <t>Rocky Mountain willowherb</t>
  </si>
  <si>
    <t>Erigeron hyssopifolius</t>
  </si>
  <si>
    <t>wild daisy fleabane</t>
  </si>
  <si>
    <t>Eriophorum callitrix</t>
  </si>
  <si>
    <t>beautiful cotton grass</t>
  </si>
  <si>
    <t>Eupatorium maculatum</t>
  </si>
  <si>
    <t>spotted Joe-pye weed</t>
  </si>
  <si>
    <t>Festuca altaica</t>
  </si>
  <si>
    <t>northern rough fescue</t>
  </si>
  <si>
    <t>Geranium carolinianum</t>
  </si>
  <si>
    <t>Carolina wild geranium</t>
  </si>
  <si>
    <t>Glyceria elata</t>
  </si>
  <si>
    <t>tufted tall manna grass</t>
  </si>
  <si>
    <t>Gymnocarpium disjunctum</t>
  </si>
  <si>
    <t>western oak fern</t>
  </si>
  <si>
    <t>Gymnocarpium jessoense</t>
  </si>
  <si>
    <t>northern oak fern</t>
  </si>
  <si>
    <t>Hedyotis longifolia</t>
  </si>
  <si>
    <t>long-leaved bluets</t>
  </si>
  <si>
    <t>Hypericum majus</t>
  </si>
  <si>
    <t>large Canada St. John's-wort</t>
  </si>
  <si>
    <t>Isoetes echinospora</t>
  </si>
  <si>
    <t>northern quillwort</t>
  </si>
  <si>
    <t>Juncus brevicaudatus</t>
  </si>
  <si>
    <t>short-tail rush</t>
  </si>
  <si>
    <t>Juncus nevadensis</t>
  </si>
  <si>
    <t>Nevada rush</t>
  </si>
  <si>
    <t>Koenigia islandica</t>
  </si>
  <si>
    <t>koenigia</t>
  </si>
  <si>
    <t>Lactuca biennis</t>
  </si>
  <si>
    <t>tall blue lettuce</t>
  </si>
  <si>
    <t>Lathyrus palustris</t>
  </si>
  <si>
    <t>vetchling peavine</t>
  </si>
  <si>
    <t>Leymus mollis</t>
  </si>
  <si>
    <t>American dune grass</t>
  </si>
  <si>
    <t>Liparis loeselii</t>
  </si>
  <si>
    <t>Loesel's twayblade</t>
  </si>
  <si>
    <t>Lobelia dortmanna</t>
  </si>
  <si>
    <t>water lobelia</t>
  </si>
  <si>
    <t>Lomatogonium rotatum</t>
  </si>
  <si>
    <t>marsh felwort</t>
  </si>
  <si>
    <t>Luzula acuminata</t>
  </si>
  <si>
    <t>wood-rush</t>
  </si>
  <si>
    <t>Luzula groenlandica</t>
  </si>
  <si>
    <t>Luzula rufescens</t>
  </si>
  <si>
    <t>reddish wood-rush</t>
  </si>
  <si>
    <t>Lycopodiella inundata</t>
  </si>
  <si>
    <t>bog club-moss</t>
  </si>
  <si>
    <t>Malaxis paludosa</t>
  </si>
  <si>
    <t>bog adder's-mouth</t>
  </si>
  <si>
    <t>Mimulus guttatus</t>
  </si>
  <si>
    <t>yellow monkeyflower</t>
  </si>
  <si>
    <t>Mimulus ringens</t>
  </si>
  <si>
    <t>square-stem monkeyflower</t>
  </si>
  <si>
    <t>Monotropa hypopithys</t>
  </si>
  <si>
    <t>pinesap</t>
  </si>
  <si>
    <t>Muhlenbergia racemosa</t>
  </si>
  <si>
    <t>marsh muhly</t>
  </si>
  <si>
    <t>Najas flexilis</t>
  </si>
  <si>
    <t>slender naiad</t>
  </si>
  <si>
    <t>Nymphaea leibergii</t>
  </si>
  <si>
    <t>pygmy water-lily</t>
  </si>
  <si>
    <t>Nymphaea tetragona</t>
  </si>
  <si>
    <t>white water-lily</t>
  </si>
  <si>
    <t>Oryzopsis canadensis</t>
  </si>
  <si>
    <t>Canadian rice grass</t>
  </si>
  <si>
    <t>Oryzopsis micrantha</t>
  </si>
  <si>
    <t>little-seed rice grass</t>
  </si>
  <si>
    <t>Panicum acuminatum</t>
  </si>
  <si>
    <t>hot-springs millet</t>
  </si>
  <si>
    <t>Panicum leibergii</t>
  </si>
  <si>
    <t>Leiberg's millet</t>
  </si>
  <si>
    <t>Pedicularis sudetica</t>
  </si>
  <si>
    <t>purple rattle</t>
  </si>
  <si>
    <t>Pellaea glabella</t>
  </si>
  <si>
    <t>smooth cliff brake</t>
  </si>
  <si>
    <t>Phegopteris connectilis</t>
  </si>
  <si>
    <t>northern beech fern</t>
  </si>
  <si>
    <t>Pinguicula villosa</t>
  </si>
  <si>
    <t>small butterwort</t>
  </si>
  <si>
    <t>Pinus albicaulis</t>
  </si>
  <si>
    <t>whitebark pine</t>
  </si>
  <si>
    <t>Pinus flexilis</t>
  </si>
  <si>
    <t>limber pine</t>
  </si>
  <si>
    <t>Plantago maritima</t>
  </si>
  <si>
    <t>sea-side plantain</t>
  </si>
  <si>
    <t>Polygala paucifolia</t>
  </si>
  <si>
    <t>fringed milkwort</t>
  </si>
  <si>
    <t>Potamogeton foliosus</t>
  </si>
  <si>
    <t>leafy pondweed</t>
  </si>
  <si>
    <t>Potamogeton obtusifolius</t>
  </si>
  <si>
    <t>blunt-leaved pondweed</t>
  </si>
  <si>
    <t>Potamogeton robbinsii</t>
  </si>
  <si>
    <t>Robbins' pondweed</t>
  </si>
  <si>
    <t>Potamogeton strictifolius</t>
  </si>
  <si>
    <t>linear-leaved pondweed</t>
  </si>
  <si>
    <t>Potentilla hookeriana</t>
  </si>
  <si>
    <t>Hooker's cinquefoil</t>
  </si>
  <si>
    <t>Potentilla multifida</t>
  </si>
  <si>
    <t>branched cinquefoil</t>
  </si>
  <si>
    <t>Potentilla multisecta</t>
  </si>
  <si>
    <t>smooth-leaved cinquefoil</t>
  </si>
  <si>
    <t>Prenanthes alata</t>
  </si>
  <si>
    <t>white lettuce</t>
  </si>
  <si>
    <t>Primula egaliksensis</t>
  </si>
  <si>
    <t>primrose</t>
  </si>
  <si>
    <t>Rhynchospora capillacea</t>
  </si>
  <si>
    <t>slender beak-rush</t>
  </si>
  <si>
    <t>Rubus x paracaulis</t>
  </si>
  <si>
    <t>hybrid dwarf raspberry</t>
  </si>
  <si>
    <t>Ruppia cirrhosa</t>
  </si>
  <si>
    <t>widgeon-grass</t>
  </si>
  <si>
    <t>Sagina nodosa</t>
  </si>
  <si>
    <t>pearlwort</t>
  </si>
  <si>
    <t>Sagittaria latifolia</t>
  </si>
  <si>
    <t>broad-leaved arrowhead</t>
  </si>
  <si>
    <t>Salix commutata</t>
  </si>
  <si>
    <t>changeable willow</t>
  </si>
  <si>
    <t>Salix raupii</t>
  </si>
  <si>
    <t>Raup's willow</t>
  </si>
  <si>
    <t>Salix sitchensis</t>
  </si>
  <si>
    <t>Sitka willow</t>
  </si>
  <si>
    <t>Salix tyrrellii</t>
  </si>
  <si>
    <t>Tyrrell's willow</t>
  </si>
  <si>
    <t>Saxifraga odontoloma</t>
  </si>
  <si>
    <t>saxifrage</t>
  </si>
  <si>
    <t>Schoenoplectus heterochaetus</t>
  </si>
  <si>
    <t>Slender Bulrush</t>
  </si>
  <si>
    <t>Scirpus pallidus</t>
  </si>
  <si>
    <t>pale bulrush</t>
  </si>
  <si>
    <t>Silene antirrhina</t>
  </si>
  <si>
    <t>sleepy catchfly</t>
  </si>
  <si>
    <t>Sisyrinchium septentrionale</t>
  </si>
  <si>
    <t>pale blue-eyed grass</t>
  </si>
  <si>
    <t>Sparganium fluctuans</t>
  </si>
  <si>
    <t>bur-reed</t>
  </si>
  <si>
    <t>Sparganium glomeratum</t>
  </si>
  <si>
    <t>Sparganium hyperboreum</t>
  </si>
  <si>
    <t>northern bur-reed</t>
  </si>
  <si>
    <t>Spartina pectinata</t>
  </si>
  <si>
    <t>prairie cord grass</t>
  </si>
  <si>
    <t>Spergularia salina</t>
  </si>
  <si>
    <t>salt-marsh sand spurry</t>
  </si>
  <si>
    <t>Sphenopholis obtusata</t>
  </si>
  <si>
    <t>prairie wedge grass</t>
  </si>
  <si>
    <t>Spiranthes lacera</t>
  </si>
  <si>
    <t>northern slender ladies'-tresses</t>
  </si>
  <si>
    <t>Stellaria arenicola</t>
  </si>
  <si>
    <t>sand-dune chickweed</t>
  </si>
  <si>
    <t>Stellaria crispa</t>
  </si>
  <si>
    <t>wavy-leaved chickweed</t>
  </si>
  <si>
    <t>Streptopus roseus</t>
  </si>
  <si>
    <t>rose mandarin</t>
  </si>
  <si>
    <t>Streptopus streptopoides</t>
  </si>
  <si>
    <t>twisted-stalk</t>
  </si>
  <si>
    <t>Trichophorum clintonii</t>
  </si>
  <si>
    <t>Clinton's bulrush</t>
  </si>
  <si>
    <t>Trisetum montanum</t>
  </si>
  <si>
    <t>mountain trisetum</t>
  </si>
  <si>
    <t>Utricularia cornuta</t>
  </si>
  <si>
    <t>horned bladderwort</t>
  </si>
  <si>
    <t>Viola pallens</t>
  </si>
  <si>
    <t>Macloskey's violet</t>
  </si>
  <si>
    <t>Wolffia columbiana</t>
  </si>
  <si>
    <t>watermeal</t>
  </si>
  <si>
    <t>BIRDS</t>
  </si>
  <si>
    <t>Upland cover with perennial vegetation is very important to many songbirds and mammals that occur in wetlands or along a wetland's upland edge. Wetlands that contain or are close to natural land cover, and not separated from that by roads that interfere with movements across the landscape, are more likely to support forest-dwelling species. Some Alberta bird species declined as buffer width narrowed from 200 to 100 m and narrower. Thus, buffers of &lt;100 m width may not be adequate to protect some species from impacts of clearcutting and other activities that remove tall vegetation (Hannon et al. 2002). Forested buffers provide movement corridors for several birds (Robichaud et al. 2002) and mammals.  The probability that a forest-dwelling bird will fly in the open between two patches of forest decreases rapidly as the distance separating those patches increases (Desrochers &amp; Hannon 1997, St. Clair et al. 1998). Forest bird species usually prefer to detour under forest cover even if the forested route is longer, but if the detour is too long, they will prefer a shortcut across openland. However, when possible most forest bird species avoid venturing farther than about 100 ft from a forest edge (St. Clair et al. 1998).</t>
  </si>
  <si>
    <t>Trumpeter Swan</t>
  </si>
  <si>
    <t>Northern Pintail</t>
  </si>
  <si>
    <t>Green-winged Teal</t>
  </si>
  <si>
    <t>Lesser Scaup</t>
  </si>
  <si>
    <t>White-winged Scoter</t>
  </si>
  <si>
    <t>Pied-billed Grebe</t>
  </si>
  <si>
    <t>Horned Grebe</t>
  </si>
  <si>
    <t>ABMI</t>
  </si>
  <si>
    <t>X</t>
  </si>
  <si>
    <t>Sharp-tailed Grouse</t>
  </si>
  <si>
    <t>American Bittern</t>
  </si>
  <si>
    <t>Great Blue Heron</t>
  </si>
  <si>
    <t>Black-crowned Night-heron</t>
  </si>
  <si>
    <t>Osprey</t>
  </si>
  <si>
    <t>Bald Eagle</t>
  </si>
  <si>
    <t>Northern Harrier</t>
  </si>
  <si>
    <t>Northern Goshawk</t>
  </si>
  <si>
    <t>Broad-winged Hawk</t>
  </si>
  <si>
    <t>Golden Eagle</t>
  </si>
  <si>
    <t>American Kestrel</t>
  </si>
  <si>
    <t>Peregrine Falcon</t>
  </si>
  <si>
    <t>Yellow Rail</t>
  </si>
  <si>
    <t>Sora</t>
  </si>
  <si>
    <t>Sandhill Crane</t>
  </si>
  <si>
    <t>Black Tern</t>
  </si>
  <si>
    <t>Barred Owl</t>
  </si>
  <si>
    <t>Great Gray Owl</t>
  </si>
  <si>
    <t>Short-eared Owl</t>
  </si>
  <si>
    <t>Common Nighthawk</t>
  </si>
  <si>
    <t>Black-backed Woodpecker</t>
  </si>
  <si>
    <t>Pileated Woodpecker</t>
  </si>
  <si>
    <t>Western Wood-pewee</t>
  </si>
  <si>
    <t>Least Flycatcher</t>
  </si>
  <si>
    <t>Eastern Phoebe</t>
  </si>
  <si>
    <t>Barn Swallow</t>
  </si>
  <si>
    <t>Brown Creeper</t>
  </si>
  <si>
    <t>Common Yellowthroat</t>
  </si>
  <si>
    <t>Cape May Warbler</t>
  </si>
  <si>
    <t>Bay-breasted Warbler</t>
  </si>
  <si>
    <t>Black-throated Green Warbler</t>
  </si>
  <si>
    <t>Canada Warbler</t>
  </si>
  <si>
    <t>Western Tanager</t>
  </si>
  <si>
    <t>Whooping Crane</t>
  </si>
  <si>
    <t>American White Pelican</t>
  </si>
  <si>
    <t>Olive-sided Flycatcher</t>
  </si>
  <si>
    <t>Western Grebe (colonies)</t>
  </si>
  <si>
    <t>Palm Warbler</t>
  </si>
  <si>
    <t>Rusty Blackbird</t>
  </si>
  <si>
    <t xml:space="preserve">To meet all their life history requirements, most amphibians require uplands in close proximity to, or interspersed within, suitable wetlands.  Uplands that are dominated by natural vegetation usually provide the most suitable microclimates and habitat structure.  When radiotracked frogs on Vancouver Island were released inside clusters of trees amidst otherwise unsuitable habitat (clearcuts), the proportion of frogs abandoning the tree cluster was greater the smaller the cluster.  Frogs were less likely to leave tree patches intersected by a running stream or where neighborhood stream density was high.  Scattered tree patches of 2.0 to 3.7 acres, preferably in stream locations, were the minimum needed to allow successful overland passage of one frog species (Chan-McLeod &amp; Moy 2007). Beaver ponds were less likely to be present on Alberta streams if much of the forest within 0.5 km had been removed by cutblocks, and this was true even when favoured foods (poplar) was present along the streams (Stevens et al. 2007). </t>
  </si>
  <si>
    <r>
      <t xml:space="preserve">During certain months of the year many salamanders and some frogs and toads require the moist microclimate and abundant invertebrate foods found in or under large downed in the uplands surrounding wetlands.  Forests with large-diameter trees are most likely to have such conditions.  The dominant type of vegetation, both near a stream and in a watershed generally, has the potential to strongly influence aquatic productivity and thus larval amphibian survival (Ball et al. 2010).  Moreover, amphibian populations in this region are correlated with distribution of beaver ponds, and beaver generally prefer larger-sized trees (Stevens et al. 2007). </t>
    </r>
    <r>
      <rPr>
        <i/>
        <sz val="10"/>
        <rFont val="Arial Narrow"/>
        <family val="2"/>
        <scheme val="minor"/>
      </rPr>
      <t xml:space="preserve"> In calculations, is excluded automatically (cell goes blank) if trees occupy &lt;5% of the vegetated part of the AA. Otherwise, score is based on the number of categories and the presence of the categories with the greatest weights, i.e., larger trees.</t>
    </r>
  </si>
  <si>
    <t xml:space="preserve">A greater number of wetlands per unit area implies that any single wetland is likely to be closer to others that can more easily provide propagules for recolonisation if plant communities in the target wetland are altered.  Wetlands that are more geographically isolated from each other are likely to have lower plant species richness than those close together (Nekola 1999). </t>
  </si>
  <si>
    <r>
      <t>was measured, and is:  [</t>
    </r>
    <r>
      <rPr>
        <i/>
        <sz val="10"/>
        <rFont val="Arial Narrow"/>
        <family val="2"/>
      </rPr>
      <t>enter the reading in the column to the right</t>
    </r>
    <r>
      <rPr>
        <sz val="10"/>
        <rFont val="Arial Narrow"/>
        <family val="2"/>
      </rPr>
      <t>]:</t>
    </r>
  </si>
  <si>
    <t>COSEWIC</t>
  </si>
  <si>
    <r>
      <t xml:space="preserve">As a group, sedges tend to be extremely diverse and thus contribute significantly to biodiversity within and among wetlands.  They also are often associated with diverse assemblages of other plants because they tend to occur in wetlands with fewer or less severe previous disturbances and/or pollution. </t>
    </r>
    <r>
      <rPr>
        <i/>
        <sz val="10"/>
        <rFont val="Arial Narrow"/>
        <family val="2"/>
      </rPr>
      <t>In calculations, is excluded automatically (cell goes blank) if herbaceous cover is &lt;5% of the vegetated cover.</t>
    </r>
  </si>
  <si>
    <t>Large Snags (Dead Standing Trees)</t>
  </si>
  <si>
    <t>Several ( &gt;5/hectare) and a pond, lake, or slow-flowing water wider than 10 m is within 1 km.</t>
  </si>
  <si>
    <t>Several ( &gt;5/hectare) but above not true.</t>
  </si>
  <si>
    <t xml:space="preserve">&lt;10 cm change (stable or nearly so) </t>
  </si>
  <si>
    <t>Multiple depth classes and none occupy more than 50% of the AA.</t>
  </si>
  <si>
    <t xml:space="preserve">Robust Emergents </t>
  </si>
  <si>
    <t>1-5% of the water.  The rest is flowing.</t>
  </si>
  <si>
    <r>
      <t xml:space="preserve">&gt;99% of the water.  Little or no visibly flowing water </t>
    </r>
    <r>
      <rPr>
        <b/>
        <sz val="10"/>
        <rFont val="Arial Narrow"/>
        <family val="2"/>
      </rPr>
      <t>within</t>
    </r>
    <r>
      <rPr>
        <sz val="10"/>
        <rFont val="Arial Narrow"/>
        <family val="2"/>
      </rPr>
      <t xml:space="preserve"> the AA.</t>
    </r>
  </si>
  <si>
    <t xml:space="preserve">None, or &lt;0.01 hectare and &lt;1% of the AA. </t>
  </si>
  <si>
    <t>Scattered.  More than 30% of such vegetation forms small islands or corridors surrounded by water.</t>
  </si>
  <si>
    <t>Clumped. More than 70% of such vegetation is in bands along the wetland perimeter or is clumped at one or a few sides of the surface water area.</t>
  </si>
  <si>
    <t>Open Water - Minimum Depth</t>
  </si>
  <si>
    <t>Little or none</t>
  </si>
  <si>
    <t>Does not bump into plant stems as it travels through the AA.  Nearly all the water continues to travel in unvegetated (often incised) channels that have minimal contact with wetland vegetation, or through a zone of open water such as an instream pond or lake.</t>
  </si>
  <si>
    <t>leaves through natural exits (channels or diffuse outflow), not mainly through artificial or temporary features.</t>
  </si>
  <si>
    <t>bare or nearly bare pervious surface or managed vegetation, e.g., lawn, annual crops, mostly-unvegetated clearcut, landslide, unpaved road, drill pad, dike.</t>
  </si>
  <si>
    <t>burned &gt;30 years ago, or no evidence of a burn and no data.</t>
  </si>
  <si>
    <t>The pH in most of the AA's surface water:</t>
  </si>
  <si>
    <t>S1</t>
  </si>
  <si>
    <t>S2</t>
  </si>
  <si>
    <t>S3</t>
  </si>
  <si>
    <t>S4</t>
  </si>
  <si>
    <t>The AA contains (or is part of) an island or beaver lodge within a lake, pond, or river, and is isolated from the shore by water depths &gt;2 m on all sides during an average June.  The island may be solid, or it may be a floating vegetation mat that is sufficiently large and dense to support a waterbird nest.</t>
  </si>
  <si>
    <t>Wettype3</t>
  </si>
  <si>
    <t>Burn2</t>
  </si>
  <si>
    <t>Depending on the type of fire (crown and/or ground) and type of wetland, a burn can temporarily remove vegetation cover, resulting in sediment loss rather than retention.</t>
  </si>
  <si>
    <t>Burn1</t>
  </si>
  <si>
    <t>Fire removes accumulated organic matter that otherwise is potentially available for export to aquatic food chains (Banfield et al. 2002).  However, a short-term burst of organic export may occur immediately after a fire, and fire may add carbon to streams indirectly by stimulating production of stream algae as a result of opening of the forest canopy.</t>
  </si>
  <si>
    <t>Burn6</t>
  </si>
  <si>
    <t>Conduc10</t>
  </si>
  <si>
    <t>More than 1% of the AA's previously vegetated area:</t>
  </si>
  <si>
    <t>Beaver8</t>
  </si>
  <si>
    <t>Burn8</t>
  </si>
  <si>
    <t>Conduc8</t>
  </si>
  <si>
    <t>The percentage of the AA visited by humans almost daily for several weeks during an average growing season probably comprises: [Note: Do not include visitors on trails outside of the AA unless more than half the wetland is visible from the trails and they are within 30 m of the wetland edge.  In that case, imagine the percentage of the AA that would be covered by the trail if it were placed within the AA.]</t>
  </si>
  <si>
    <t xml:space="preserve">  stormwater or wastewater effluent (including failing septic systems), landfills, industrial facilities</t>
  </si>
  <si>
    <t xml:space="preserve">  road salt</t>
  </si>
  <si>
    <t xml:space="preserve">  metals &amp; chemical wastes from mining, shooting ranges, snow storage areas, oil/ gas extraction, other sources</t>
  </si>
  <si>
    <t xml:space="preserve">  oil or chemical spills (not just chronic inputs) from nearby roads</t>
  </si>
  <si>
    <t xml:space="preserve">  stormwater or wastewater effluent (including failing septic systems), landfills</t>
  </si>
  <si>
    <t xml:space="preserve">  fertilizers applied to lawns, ag lands, or other areas in the CA</t>
  </si>
  <si>
    <t xml:space="preserve">  livestock, dogs  </t>
  </si>
  <si>
    <t xml:space="preserve">  artificial drainage of upslope lands</t>
  </si>
  <si>
    <t xml:space="preserve">  erosion from plowed fields, fill, timber harvest, dirt roads, vegetation clearing, fires</t>
  </si>
  <si>
    <t xml:space="preserve">  erosion from construction, in-channel machinery in the CA </t>
  </si>
  <si>
    <t xml:space="preserve">  erosion from off-road vehicles in the CA</t>
  </si>
  <si>
    <t xml:space="preserve">  erosion from livestock or foot traffic in the CA</t>
  </si>
  <si>
    <t xml:space="preserve">  stormwater or wastewater effluent</t>
  </si>
  <si>
    <t xml:space="preserve">  sediment from road sanding, gravel mining, other mining, oil/ gas extraction</t>
  </si>
  <si>
    <t xml:space="preserve">  accelerated channel downcutting or headcutting of tributaries due to altered land use</t>
  </si>
  <si>
    <t xml:space="preserve">  other human-related disturbances within the CA</t>
  </si>
  <si>
    <t xml:space="preserve">  compaction from machinery, off-road vehicles, or mountain bikes, especially during wetter periods</t>
  </si>
  <si>
    <t xml:space="preserve">  leveling or other grading not to the natural contour</t>
  </si>
  <si>
    <t xml:space="preserve">  tillage, plowing (but excluding disking for enhancement of native plants)</t>
  </si>
  <si>
    <t xml:space="preserve">  fill or riprap, excluding small amounts of upland soils containing organic amendments (compost, etc.) or small amounts of topsoil imported from another wetland</t>
  </si>
  <si>
    <t xml:space="preserve">  excavation</t>
  </si>
  <si>
    <t xml:space="preserve">  ditch cleaning or dredging in or adjacent to the wetland</t>
  </si>
  <si>
    <t xml:space="preserve">  boat traffic in or adjacent to the wetland and sufficient to cause shore erosion or stir bottom sediments</t>
  </si>
  <si>
    <t xml:space="preserve">  artificial water level or flow manipulations sufficient to cause erosion or stir bottom sediments</t>
  </si>
  <si>
    <t>Stream                Flow                 Support</t>
  </si>
  <si>
    <t>Water                 Cooling</t>
  </si>
  <si>
    <t>Sediment         Retention                           and              Stabilization</t>
  </si>
  <si>
    <t>Organic                  Matter                          Export</t>
  </si>
  <si>
    <t>Different resident fish species have different habitat needs, and a variety of depths within a wetland implies greater capacity of the wetland to meet the needs of multiple species.  /  In calculations, is excluded automatically (cell goes blank) if wetland never has surface water during an average year. Also is excluded automatically if wetland is &lt;0.01 ha.</t>
  </si>
  <si>
    <t>Amphibian         Habitat</t>
  </si>
  <si>
    <t>Waterbird       Habitat</t>
  </si>
  <si>
    <t>Human Use          and              Recognition</t>
  </si>
  <si>
    <t>Within 0-100 m of the AA</t>
  </si>
  <si>
    <t>ToxSource13</t>
  </si>
  <si>
    <r>
      <t xml:space="preserve">Snags provide nest cavities for a few waterbird species, e.g., hooded merganser. Such trees may be used even when located a considerable distance from the wetland.  </t>
    </r>
    <r>
      <rPr>
        <i/>
        <sz val="10"/>
        <rFont val="Arial Narrow"/>
        <family val="2"/>
      </rPr>
      <t xml:space="preserve">In calculations, is excluded automatically (cell goes blank) if trees occupy &lt;5% of the vegetated part of the AA. </t>
    </r>
  </si>
  <si>
    <r>
      <t xml:space="preserve">Tree cavities are needed by many nesting songbirds and mammals, and by roosting bats. Tall snags are especially useful to raptors as hunting perches.  Snag densities are much higher in burned-over areas than in timber harvest areas (Hobson &amp; Schieck 1999).   </t>
    </r>
    <r>
      <rPr>
        <i/>
        <sz val="10"/>
        <rFont val="Arial Narrow"/>
        <family val="2"/>
        <scheme val="minor"/>
      </rPr>
      <t xml:space="preserve"> In calculations, is excluded automatically (cell goes blank) if trees occupy &lt;5% of the vegetated part of the AA. </t>
    </r>
  </si>
  <si>
    <t>ToxSource14</t>
  </si>
  <si>
    <t>Burn10</t>
  </si>
  <si>
    <t>Fire Barrier</t>
  </si>
  <si>
    <t>Fstop</t>
  </si>
  <si>
    <t>Burn15</t>
  </si>
  <si>
    <t>Aberrant Hydrologic Regime</t>
  </si>
  <si>
    <t xml:space="preserve">   excavation within the wetland, e.g., dugout, artificial pond, dead-end ditch</t>
  </si>
  <si>
    <t xml:space="preserve">   artificial drains or ditches in or near the wetland</t>
  </si>
  <si>
    <t xml:space="preserve">   logging within the wetland</t>
  </si>
  <si>
    <t xml:space="preserve">   accelerated downcutting or channelization of an adjacent or internal channel (incised below the historical water table level)</t>
  </si>
  <si>
    <t xml:space="preserve">   stormwater from impervious surfaces that drains directly to the wetland</t>
  </si>
  <si>
    <t xml:space="preserve">   water subsidies from wastewater effluent, septic system leakage, snow storage areas, or irrigation</t>
  </si>
  <si>
    <t xml:space="preserve">   straightening, ditching, dredging, and/or lining of tributary channels</t>
  </si>
  <si>
    <t xml:space="preserve">   regular removal of surface or groundwater for irrigation or other consumptive use</t>
  </si>
  <si>
    <t xml:space="preserve">   a dam, dike, levee, weir, berm, or fill -- within or downgradient from the wetland -- that interferes with surface or subsurface flow in/out of the AA (e.g., road fill, wellpads, pipelines)</t>
  </si>
  <si>
    <t xml:space="preserve">   subsidence or compaction of the wetland's substrate as a result of machinery, livestock, fire, drainage, or off road vehicles</t>
  </si>
  <si>
    <t>Spatial extent of the change within the AA</t>
  </si>
  <si>
    <t>When the change began</t>
  </si>
  <si>
    <t>Water level increase or decrease</t>
  </si>
  <si>
    <t>&gt;30 cm</t>
  </si>
  <si>
    <t>15-30 cm</t>
  </si>
  <si>
    <t>&lt;15 cm</t>
  </si>
  <si>
    <t>shift of weeks, or became became very flashy or controlled</t>
  </si>
  <si>
    <t>shift of hours or minutes, or became mildly flashy or controlled</t>
  </si>
  <si>
    <t>Brown, S. M., R. M. Petrone, C. Mendoza, and K. J. Devito. 2010. Surface vegetation controls on evapotranspiration from a sub-humid Western Boreal Plain wetland. Hydrological Processes 24:1072-1085.</t>
  </si>
  <si>
    <t>Devito, K., I. Creed, T. Gan, C. Mendoza, R. Petrone, U. Silins, and B. Smerdon. 2005. A framework for broad-scale classification of hydrologic response units on the Boreal Plain: is topography the last thing to consider? Hydrological Processes 19:1705-1714.</t>
  </si>
  <si>
    <t>Ehsanzadeh, E., C. Spence, G. van der Kamp, and B. McConkey. 2012. On the behaviour of dynamic contributing areas and flood frequency curves in North American Prairie watersheds. Journal of Hydrology 414:364-373.</t>
  </si>
  <si>
    <t>Halsey, L. A., D. H. Vitt, and D. O. Trew. 1997. Influence of peatlands on the acidity of lakes in northeastern Alberta, Canada. Water Air and Soil Pollution 96:17-38.</t>
  </si>
  <si>
    <t>McAllister, L. S., B. E. Peniston, S. G. Leibowitz, B. Abbruzzese, and J. B. Hyman. 2000. A synoptic assessment for prioritizing wetland restoration efforts to optimize flood attenuation. Wetlands 20:70-83.</t>
  </si>
  <si>
    <t>Petrone, R. M., U. Silins, and K. J. Devito. 2007. Dynamics of evapotranspiration from a riparian pond complex in the Western Boreal Forest, Alberta, Canada. Hydrological Processes 21:1391-1401.</t>
  </si>
  <si>
    <t>Schmidt, A., J. J. Gibson, I. R. Santos, M. Schubert, K. Tattrie, and H. Weiss. 2010. The contribution of groundwater discharge to the overall water budget of two typical Boreal lakes in Alberta/Canada estimated from a radon mass balance. Hydrology and Earth System Sciences 14:79-89.</t>
  </si>
  <si>
    <t>Smerdon, B. D., K. J. Devito, and C. A. Mendoza. 2005. Interaction of groundwater and shallow lakes on outwash sediments in the sub-humid Boreal Plains of Canada. Journal of Hydrology 314:246-262.</t>
  </si>
  <si>
    <t>St. Amour, N. A., J. J. Gibson, T. W. D. Edwards, T. D. Prowse, and A. Pietroniro. 2005. Isotopic time-series partitioning of streamflow components in wetland‐dominated catchments, lower Liard River basin, Northwest Territories, Canada. Hydrological Processes 19:3357-3381.</t>
  </si>
  <si>
    <t>Quinton, W. L., M. Hayashi, and A. Pietroniro. 2003. Connectivity and storage functions of channel fens and flat bogs in northern basins. Hydrological Processes 17:3665-3684.</t>
  </si>
  <si>
    <t>Fens are typically groundwater discharge areas. Where groundwater discharges continually, the substrate remains relatively impermeable to the downward infiltration of runoff and thus there may be less capacity to store additional runoff.  Water residence time in fens tends to be shorter than in bogs, probably because bogs are more likely to lack surface water outlets (Halsey et al. 1997).  Although some researchers have reported that snowmelt runoff is attenuated better in boreal watersheds whose dominant wetlands are fens rather than bogs (St. Amour et al. 2005), a general consensus seems to be that in this region, water storage is greater in bogs than fens (Quinton et al. 2003).</t>
  </si>
  <si>
    <t>Thompson, D. K. and J. M. Waddington. 2013. Wildfire effects on vadose zone hydrology in forested boreal peatland microforms. Journal of Hydrology 486:48-56.</t>
  </si>
  <si>
    <t>Boelter, D. H. and E. S. Verry. 1977. Peatland and Water in the Northern Lake States. General Technical Report NC-31. U.S. Department of Agriculture, Forest Service, North Central Forest Experiment Station, Bridgham, SD.</t>
  </si>
  <si>
    <t>Kort, J., G. Bank, J. Pomeroy, and X. Fang. 2012. Effects of shelterbelts on snow distribution and sublimation. Agroforestry Systems 86:335-344.</t>
  </si>
  <si>
    <t>McEachern, P., E. E. Prepas, J. J. Gibson, and W. P. Dinsmore. 2000. Forest fire induced impacts on phosphorus, nitrogen, and chlorophyll a concentrations in boreal subarctic lakes of northern Alberta. Canadian Journal of Fisheries and Aquatic Sciences 57:73-81.</t>
  </si>
  <si>
    <t>Siegel, D. I. 1988. The recharge-discharge function of wetlands near Juneau, Alaska: Part II. Geochemical Investigations. Ground Water 26:580-586.</t>
  </si>
  <si>
    <t>Silins, U. and R. L. Rothwell. 1998. Forest peatland drainage and subsidence affect soil water retention and transport properties in an Alberta peatland. Soil Science Society of America Journal 62:1048-1056.</t>
  </si>
  <si>
    <t>Hayhoe, H. and C. Tarnocai. 1993. Effect of site disturbance on the soil thermal regime near Fort-Simpson, Northwest-Territories, Canada. Arctic and Alpine Research 25:37-44.</t>
  </si>
  <si>
    <t>Wiklund, J. A., R. I. Hall, and B. B. Wolfe. 2012. Timescales of hydrolimnological change in floodplain lakes of the Peace-Athabasca Delta, northern Alberta, Canada. Ecohydrology 5:351-367.</t>
  </si>
  <si>
    <t>Prepas, E. E., D. Planas, J. J. Gibson, D. H. Vitt, T. D. Prowse, W. P. Dinsmore, L. A. Halsey, P. M. McEachern, S. Paquet, and G. J. Scrimgeour. 2001. Landscape variables influencing nutrients and phytoplankton communities in Boreal Plain lakes of northern Alberta: a comparison of wetland-and upland-dominated catchments. Canadian Journal of Fisheries and Aquatic Sciences 58:1286-1299.</t>
  </si>
  <si>
    <t>Rippy, J. F. M. and P. V. Nelson. 2007. Cation exchange capacity and base saturation variation among Alberta, Canada, moss peats. Hortscience 42:349-352.</t>
  </si>
  <si>
    <t>Microbes responsible for most of the nitrate removal in wetlands thrive best at warmer soil or sediment temperatures (e.g., Beutel et al. 2009, Ryan et al. 2000).</t>
  </si>
  <si>
    <r>
      <t xml:space="preserve">Water table depth and duration of saturation affect redox and thus N cycling (D’Amore et al. 2009). Denitrification rates are highest at the interface between aerobic and anaerobic conditions. Such conditions often develop where a ponded area expands seasonally into vegetated areas. However,  in this region, alternating wet and dry periods tend to reduce denitrification and increase the release of nitrate previously accumulated in soils and organic matter (Devito et al. 2000).  </t>
    </r>
    <r>
      <rPr>
        <i/>
        <sz val="10"/>
        <rFont val="Arial Narrow"/>
        <family val="2"/>
        <scheme val="minor"/>
      </rPr>
      <t>In calculations, is excluded automatically (cell goes blank) if wetland never has surface water during an average year.</t>
    </r>
  </si>
  <si>
    <r>
      <t xml:space="preserve">Exposing sediments to the air can cause them to release accumulated nitrate, potentially resulting in less removal. In contrast, long-duration flooding usually makes sediments anaerobic, which is necessary for the denitrification process.  Denitrification processes occur when anaerobic conditions occur, which are more likely when surface water is persistent and blocks gas exchange (Devito et al. 2000). Shallow inundation tends to decrease emissions of nitrous oxide (Zaman et al. 2007, Song et al. 2008). </t>
    </r>
    <r>
      <rPr>
        <i/>
        <sz val="10"/>
        <rFont val="Arial Narrow"/>
        <family val="2"/>
        <scheme val="minor"/>
      </rPr>
      <t xml:space="preserve">In calculations, is excluded automatically (cell goes blank) if wetland never has surface water during an average year. </t>
    </r>
  </si>
  <si>
    <t>Explanations, Definitions</t>
  </si>
  <si>
    <r>
      <t xml:space="preserve">&lt;0.01 hectare (about 10 m on a side) </t>
    </r>
    <r>
      <rPr>
        <b/>
        <sz val="10"/>
        <rFont val="Arial Narrow"/>
        <family val="2"/>
      </rPr>
      <t>and</t>
    </r>
    <r>
      <rPr>
        <sz val="10"/>
        <rFont val="Arial Narrow"/>
        <family val="2"/>
      </rPr>
      <t xml:space="preserve"> &lt;1% of the AA never has surface water.  In other words, all or nearly all of the AA is covered by water permanently or at least seasonally.</t>
    </r>
  </si>
  <si>
    <t>Do not include shade from floating-leaved plants or moss.  [FH, OE, WC]</t>
  </si>
  <si>
    <t xml:space="preserve"> [FH, HU]</t>
  </si>
  <si>
    <t>[FH, HU, PR, WB]</t>
  </si>
  <si>
    <t>Flood marks (algal mats, adventitious roots, debris lines, ice scour, etc.) are often evident when not fully inundated.  Along some rivers, the extent of this zone can be estimated by multiplying by 2 the bankful height and visualizing where that would intercept the land along the river. Width may vary depending on ice jams. [ INV, NR, OE, SR, WB, WS]</t>
  </si>
  <si>
    <t>Look for flood marks (see above).  Because the annual range of water levels is difficult to estimate without multiple visits, consider asking the land owner or neighbors about it. [AM, INV, NR, OE, PH, PR, SR, WB, WS]</t>
  </si>
  <si>
    <t>Estimate these proportions by considering the gradient and microtopography of the site. See diagram in the manual. [FH, INV, WB]</t>
  </si>
  <si>
    <t>Open water is not obscured by vegetation in aerial ("duck's eye") view.  It includes vegetation floating on the water surface or entirely submersed beneath it.  It may be flowing or ponded.</t>
  </si>
  <si>
    <t>If several pools are present within the AA, estimate the percent of their collective shorelines that has such a gentle slope. See diagram in the manual. [SR, WB]</t>
  </si>
  <si>
    <t>During most of the part of the growing season when water is present, the percentage of the AA's water edge length that is occupied by a band (&gt;1m wide) or small islands of robust emergents (cattail, tall bulrush, buckbean), is:</t>
  </si>
  <si>
    <t>The "water edge" should include the circumference of any patches of robust emergents that are surrounded by water.</t>
  </si>
  <si>
    <t>[AM, FH, INV, NR, OE, PH, PR, SBM, SR, WB]</t>
  </si>
  <si>
    <t>Consider only the wood that is at or above the water surface, because estimates of underwater wood based only on observations from terrestrial viewing points are unreliable. [AM, FH, INV]</t>
  </si>
  <si>
    <t>[WB]</t>
  </si>
  <si>
    <t>[HU, PR]</t>
  </si>
  <si>
    <t>[AM, FH, INV, WB]</t>
  </si>
  <si>
    <t>[AM, FH, PH, SBM, WB]</t>
  </si>
  <si>
    <t>[FH, INV, NR, OE, PR, SR, WS]</t>
  </si>
  <si>
    <t>[PH]</t>
  </si>
  <si>
    <t>"Major runoff events" would include biennial high water caused by storms and/or rapid snowmelt. [ NR, OE, PR SR, WS]</t>
  </si>
  <si>
    <t>This is not the same as the shoreline slope. It is the elevational difference between the AA's inlet and outlet, divided by the flow-distance between them and converted to percent. If available, use a clinometer to measure this. Free apps for measuring gradient (clinometers) can be downloaded to smartphones.  [AM, NR, OE, PR, SR, WB, WS]</t>
  </si>
  <si>
    <t>In larger forested wetlands, patchiness is best interpreted from aerial imagery. Images that show "coarse-grained" forests indicate presence of multiple age classes and/or numerous small openings, whereas those that show "fine-grained" forests suggest more even-aged, even-sized forest with little interspersion. [AM, INV, PH, SBM]</t>
  </si>
  <si>
    <t>Exclude temporary "burn piles." [AM, INV, PH, SBM]</t>
  </si>
  <si>
    <t>[ PH, SBM]</t>
  </si>
  <si>
    <t>Snags are standing trees at least 2 m tall that often (not always) lack bark and foliage. [PH, SBM, WB]</t>
  </si>
  <si>
    <t>NOT TRUE IF PEAT?</t>
  </si>
  <si>
    <t>Beutel, M. W., C. D. Newton, E. S. Brouillard, and R. J. Watts. 2009. Nitrate removal in surface-flow constructed wetlands treating dilute agricultural runoff in the lower Yakima Basin, Washington. Ecological Engineering 35:1538-1546.</t>
  </si>
  <si>
    <t>Chávez, V. and S. E. Macdonald. 2010. The influence of canopy patch mosaics on understory plant community composition in boreal mixedwood forest. Forest Ecology and Management 259:1067-1075.</t>
  </si>
  <si>
    <t>Devito, K. J., D. Fitzgerald, A. R. Hill, and R. Aravena. 2000. Nitrate dynamics in relation to lithology and hydrologic flow path in a river riparian zone. Journal of Environmental Quality 29:1075-1084.</t>
  </si>
  <si>
    <t>Harper, K. A. and G. P. Kershaw. 1997. Soil characteristics of 48-year-old borrow pits and vehicle tracks in shrub tundra along the CANOL no 1 pipeline corridor, northwest territories, Canada. Arctic and Alpine Research 29:105-111.</t>
  </si>
  <si>
    <t>Ryan, M. C., R. G. Kachanoski, and R. W. Gillham. 2000. Overwinter soil nitrogen dynamics in seasonally frozen soils. Canadian Journal of Soil Science 80:541-550.</t>
  </si>
  <si>
    <t>Thormann, M. N., S. E. Bayley, and R. S. Currah. 2001. Comparison of decomposition of belowground and aboveground plant litters in peatlands of boreal Alberta, Canada. Canadian Journal of Botany-Revue Canadienne De Botanique 79:9-22.</t>
  </si>
  <si>
    <t>Vitt, D. H., K. Wieder, L. A. Halsey, and M. Turetsky. 2003. Response of Sphagnum fuscum to nitrogen deposition: A case study of ombrogenous peatlands in Alberta, Canada. Bryologist 106:235-245.</t>
  </si>
  <si>
    <t>Wray, H. E. and S. E. Bayley. 2007. Denitrification rates in marsh fringes and fens in two boreal peatlands in Alberta, Canada. Wetlands 27:1036-1045.</t>
  </si>
  <si>
    <t>Banfield, G. E., J. S. Bhatti, H. Jiang, and M. J. Apps. 2002. Variability in regional scale estimates of carbon stocks in boreal forest ecosystems: results from West-Central Alberta. Forest Ecology and Management 169:15-27.</t>
  </si>
  <si>
    <t>Poff, N. L., J. D. Allan, M. B. Bain, J. R. Karr, K. L. Prestegaard, B. D. Richter, R. E. Sparks, and J. C. Stromberg. 1997. The natural flow regime. Bioscience 47:769-784.</t>
  </si>
  <si>
    <t>Szumigalski, A. R. and S. E. Bayley. 1996a. Net above-ground primary production along a bog-rich fen gradient in central Alberta, Canada. Wetlands 16:467-476.</t>
  </si>
  <si>
    <t>Szumigalski, A. R. and S. E. Bayley. 1996b. Decomposition along a bog to rich fen gradient is central Alberta, Canada. Canadian Journal of Botany-Revue Canadienne De Botanique 74:573-581.</t>
  </si>
  <si>
    <t>Road density is an index of fishing pressure as well as potential impacts from increased sediment (Schiefer &amp; Immell 2012), toxic stormwater runoff, reduced fish access, and channel form changes.</t>
  </si>
  <si>
    <t>Chambers, P. A., S. Brown, J. M. Culp, R. B. Lowell, and A. Pietroniro. 2000. Dissolved oxygen decline in ice-covered rivers of northern Alberta and its effects on aquatic biota. Journal of Aquatic Ecosystem Stress and Recovery 8:27-38.</t>
  </si>
  <si>
    <t>Hanson, M. A., B. R. Herwig, K. D. Zimmer, J. Fieberg, S. R. Vaughn, R. G. Wright, and J. A. Younk. 2012. Comparing Effects of Lake- and Watershed-Scale Influences on Communities of Aquatic Invertebrates in Shallow Lakes. Plos One 7.</t>
  </si>
  <si>
    <t>Jones, T. A. and L. D. Daniels. 2008. Dynamics of large woody debris in small streams disturbed by the 2001 Dogrib fire in the Alberta foothills. Forest Ecology and Management 256:1751-1759.</t>
  </si>
  <si>
    <t>Meding, M. E. and L. J. Jackson. 2003. Biotic, chemical, and morphometric factors contributing to winter anoxia in prairie lakes. Limnology and Oceanography 48:1633-1642.</t>
  </si>
  <si>
    <t>Paszkowski, C. A. and W. M. Tonn. 2000. Community concordance between the fish and aquatic birds of lakes in northern Alberta, Canada: the relative importance of environmental and biotic factors. Freshwater Biology 43:421-437.</t>
  </si>
  <si>
    <t>Rago, P. J. and J. G. Wiener. 1986. Does pH affect fish species richness when lake area is considered? Transactions of the American Fisheries Society 115:438-447.</t>
  </si>
  <si>
    <t>Rahel, F. J. 1984. Factors structuring fish assemblages along a bog lake successional gradient. Ecology:1276-1289.</t>
  </si>
  <si>
    <t>Schiefer, E. and R. Immell. 2012. Land use impacts on lake sedimentation in the Central Rocky Mountain Foothills. Streamline 15:18-23.</t>
  </si>
  <si>
    <t>If water containing toxic substances enters the wetland, the wetland has much less capacity to support aquatic invertebrates, and assemblages of those will be less diverse. Many substances are acutely lethal to invertebrates, while others impact invertebrates by altering their microhabitats or food sources (e.g., Leung et al. 2003, Hadwin et al. 2006, Parsons et al. 2010, Lavoie et al.2011). Some toxic hydrocarbons may be more bioavailable in moss-dominated wetlands (bogs and some fens) than in those dominated by vascular plants (Rezanezhad et al. 2012).</t>
  </si>
  <si>
    <r>
      <t xml:space="preserve">Unless impounded (e.g., by beaver), flowing water in this region does not support amphibian populations (Stevens et al. 2007).  Pools that remain isolated from other surface waters even during high water provide amphibians with the most protection from predatory fish. </t>
    </r>
    <r>
      <rPr>
        <i/>
        <sz val="10"/>
        <rFont val="Arial Narrow"/>
        <family val="2"/>
        <scheme val="minor"/>
      </rPr>
      <t>In calculations, is excluded automatically (cell goes blank) if wetland never has surface water during an average year or is &lt;0.01 ha.</t>
    </r>
  </si>
  <si>
    <t>Fahrig, L., J. H. Pedlar, S. E. Pope, P. D. Taylor, and J. F. Wegner. 1995. Effect of road traffic on amphibian density. Biological Conservation 73:177-182.</t>
  </si>
  <si>
    <t>Hersikorn, B. D. and J. E. G. Smits. 2011. Compromised metamorphosis and thyroid hormone changes in wood frogs (Lithobates sylvaticus) raised on reclaimed wetlands on the Athabasca oil sands. Environmental Pollution 159:596-601.</t>
  </si>
  <si>
    <t>Mader, H. J. 1984. Animal habitat isolation by roads and agricultural fields. Biological Conservation 29:81-96.</t>
  </si>
  <si>
    <t>Schank, C. M. M., C. A. Paszkowski, W. M. Tonn, and G. J. Scrimgeour. 2011. Stocked trout do not significantly affect wood frog populations in boreal foothills lakes. Canadian Journal of Fisheries and Aquatic Sciences 68:1790-1801.</t>
  </si>
  <si>
    <r>
      <t>Stevens, C. E., C. A. Paszkowski, and A. L. Foote. 2007. Beaver (</t>
    </r>
    <r>
      <rPr>
        <i/>
        <sz val="10"/>
        <rFont val="Arial Narrow"/>
        <family val="2"/>
        <scheme val="minor"/>
      </rPr>
      <t>Castor canadensis</t>
    </r>
    <r>
      <rPr>
        <sz val="10"/>
        <rFont val="Arial Narrow"/>
        <family val="2"/>
        <scheme val="minor"/>
      </rPr>
      <t>) as a surrogate species for conserving anuran amphibians on boreal streams in Alberta, Canada. Biological Conservation 134:1-13.</t>
    </r>
  </si>
  <si>
    <r>
      <t>Wipfli, M. S. and J. Musslewhite. 2004. Density of red alder (</t>
    </r>
    <r>
      <rPr>
        <i/>
        <sz val="10"/>
        <rFont val="Arial Narrow"/>
        <family val="2"/>
        <scheme val="minor"/>
      </rPr>
      <t>Alnus rubra</t>
    </r>
    <r>
      <rPr>
        <sz val="10"/>
        <rFont val="Arial Narrow"/>
        <family val="2"/>
        <scheme val="minor"/>
      </rPr>
      <t>) in headwaters influences invertebrate and detritus subsidies to downstream fish habitats in Alaska. Hydrobiologia 520:153-163.</t>
    </r>
  </si>
  <si>
    <t>Waterbirds prefer landscapes where multiple wetlands are present in close proximity (Naugle et al. 2000).  This is partly so that if birds are disturbed in one area, they can fly to alternate sites that serve as refuge and which may provide different but complementary water regimes and foods. Nest density is often greater where a larger proportion of the surrounding landscape is wetlands (Arnold 2007).  Wetland bird richness in northern Alberta is associated with landscape condition within 1 km more strongly than with condition measured at some greater or lesser distances (Rooney &amp; Bayley 2011a).</t>
  </si>
  <si>
    <r>
      <t xml:space="preserve">At least in the short term, open water areas created by beaver dams provide excellent nesting and foraging habitat for several waterbird species (Hood &amp; Bayley 2008, Bromley &amp; Hood 2013) but not necessarily all (Kuczynski &amp; Paszkowski 2010, Kuczynski et al. 2012).  </t>
    </r>
    <r>
      <rPr>
        <i/>
        <sz val="10"/>
        <rFont val="Arial Narrow"/>
        <family val="2"/>
      </rPr>
      <t>In calculations, is excluded automatically (cell goes blank) if wetland never has surface water during an average year.</t>
    </r>
  </si>
  <si>
    <t>Humans visiting wetlands commonly bring dogs, which potentially harass waterbirds.  Even the simple presence of people on foot or in ATVs will cause many waterbirds to take flight (Burger 1981; Klein et al. 1995; Burger &amp; Gochfeld 1998).  Although some species may habituate to frequent disturbance more readily than others, repeated intrusions drain the energy of many waterbirds.  This is especially damaging during cold weather, or when birds (especially shorebirds) are stopping briefly to feed during long migrations.  Despite this, Found et al. (2008) found no adverse relationship between some nesting Alberta waterbirds and potential recreational disturbance.  Loons and herons were an exception.  Horned grebes also tend to avoid nesting in ponds with human structures nearby, especially if riparian vegetation is sparse (Kuczynski et al. 2012).</t>
  </si>
  <si>
    <t>Bolenbaugh, J. R., D. G. Krementz, and S. E. Lehnen. 2011. Secretive marsh bird species co-occurrences and habitat associations across the midwest, USA. Journal of Fish and Wildlife Management 2:49-60.</t>
  </si>
  <si>
    <t>Ducks Unlimited Canada (DUC) / Shell Canada. 2014. Biodiversity Values in Alberta Boreal Wetlands. Ranking Vertebrate Biodiversity in Boreal Wetland Habitats of Alberta using the Enhanced Wetland Classification System – Version 2. Ducks Unlimited Canada (DUC), Edmonton, AB.</t>
  </si>
  <si>
    <t>Fontaine, A. J. and M. D. Heckbert. 2010. 2008 Survey of Trumpeter Swans (Cygnus buccinator) in the Lesser Slave Area, Alberta. Alberta Species at Risk Report No. 133. Alberta Environment and Sustainable Resource Development, Fish and Wildlife Division, Edmonton, AB.</t>
  </si>
  <si>
    <t>Found, C., S. M. Webb, and M. S. Boyce. 2008. Selection of lake habitats by waterbirds in the boreal transition zone of northeastern Alberta. Canadian Journal of Zoology-Revue Canadienne De Zoologie 86:277-285.</t>
  </si>
  <si>
    <t>Fournier, M. A. and J. E. Hines. 2001. Breeding ecology of sympatric greater and lesser scaup (Aythya marila and Aythya affinis) in the Subarctic Northwest Territories. Arctic 54:444-456.</t>
  </si>
  <si>
    <t>Hebert, C. E., C. Weseloh, S. MacMillan, D. Campbell, and W. Nordstrom. 2011. Metals and polycyclic aromatic hydrocarbons in colonial waterbird eggs from Lake Athabasca and the Peace-Athabasca delta, Canada. Environmental Toxicology and Chemistry 30:1178-1183.</t>
  </si>
  <si>
    <t>Kuczynski, E. C. and C. A. Paszkowski. 2010. Food-web relations of the Horned Grebe (Podiceps auritus) on constructed ponds in the Peace Parkland, Canada. Wetlands 30:853-863.</t>
  </si>
  <si>
    <t>Kuczynski, E. C., C. A. Paszkowski, and B. A. Gingras. 2012. Horned Grebe habitat use of constructed wetlands in Alberta, Canada. Journal of Wildlife Management 76:1694-1702.</t>
  </si>
  <si>
    <t>Rooney, R. C. and S. E. Bayley. 2011a. Relative influence of local- and landscape-level habitat quality on aquatic plant diversity in shallow open-water wetlands in Alberta's boreal zone: direct and indirect effects. Landscape Ecology 26:1023-1034.</t>
  </si>
  <si>
    <t>Schummer, M., J. Palframan, E. McNaughton, T. Barney, and S. Petrie. 2012. Comparisons of bird, aquatic macroinvertebrate, and plant communities among dredged ponds and natural wetland habitats at Long Point, Lake Erie, ON. Wetlands 32:945-953.</t>
  </si>
  <si>
    <t>Thormann, M. N. and S. E. Bayley. 1997a. Aboveground net primary production along a bog-fen-marsh gradient in southern boreal Alberta, Canada. Ecoscience 4:374-384.</t>
  </si>
  <si>
    <t>Thormann, M. N. and S. E. Bayley. 1997b. Aboveground plant production and nutrient content of the vegetation in six peatlands in Alberta, Canada. Plant Ecology 131:1-16.</t>
  </si>
  <si>
    <t>Thormann, M. N. and S. E. Bayley. 1997c. Decomposition along a moderate-rich fen-marsh peatland gradient in boreal Alberta, Canada. Wetlands 17:123-137.</t>
  </si>
  <si>
    <t>Thormann, M. N. and S. E. Bayley. 1997d. Response of aboveground net primary plant production to nitrogen and phosphorus fertilization in peatlands in southern boreal Alberta, Canada. Wetlands 17:502-512.</t>
  </si>
  <si>
    <t>Timoney, K. P. and R. A. Ronconi. 2010. Annual bird mortality in the bitumen tailings ponds in northeastern Alberta, Canada. Wilson Journal of Ornithology 122:569-576.</t>
  </si>
  <si>
    <t xml:space="preserve">Traffic poses a hazard to songbirds and mammals that attempt to cross roads (Forman et al. 2002, Clevenger et al. 2003, Massey et al. 2008, Minor &amp; Urban 2010, Tremblay &amp; St. Clair 2009. 2011, and see reviews by Fahrig &amp; Rytwinski 2009, Benitez-Lopez et al. 2010). Roadsides also may channel the movements of predators. Noise from heavy traffic interferes with bird reproduction because some birds cannot hear singing of prospective mates (Wood &amp; Yezerinac 2006, Slabbekoorn &amp; Ripmeester 2008, Barber et al. 2010) and road noise can restrict habitat use by bats (Schaub et al. 2008). Grizzly bears avoid habitat within 0.5 km from highways; Waller and Servheen 2005, McLellen and Shackleton 1988). In a study examining the spatial patterns and factors influencing small terrestrial vertebrate road-kill aggregations in the Bow River Valley of Alberta, Canada, mammal and bird road-kill indices were consistently higher on low volume parkway roads than on the high-speed, high volume highways (Clevenger et al. 2003).   </t>
  </si>
  <si>
    <t xml:space="preserve">High nest predation occurs on the edges of residential areas because jays and ravens are more abundant there (Saab 1999), as well as in clearcut openings, edges, and interior forest, where squirrels are a common nest predator [De Santo &amp; Willson 2001]. Human settlements are accompanied by an increase in refuse, whether it be illegally dumped trash, recklessly contained household garbage, or well-intended compost piles. These serve as a food for ravens that prey extensively on native songbirds, frogs, and other wildlife (Chace &amp; Walsh 2006). Populations of predatory crows and ravens have been shown to increase up to at least 0.5 mile from new urban areas (Oneal &amp; Rotenberry 2009). </t>
  </si>
  <si>
    <t>The total proportion of the land that is natural land cover, as well as its proximity, can affect songbird and mammal richness in wetlands. In Ohio, migrant songbirds had the strongest positive correlation with natural land cover near streams when it was measured within ~820 ft of streams, rather than in areas closer or farther. Some migrant songbirds were much less likely to occur where there were many buildings within that distance of streams (Pennington 2008). However, one study found that migrant bird abundance was statistically unrelated to either percent urbanized land or percent forest cover within 0.6 mile (Rodewald &amp; Mathews 2005).  High nest predation was found in clearcut openings and edges where squirrels were a common nest predator throughout. [De Santo &amp; Willson 2001]. Younger forests that develop after clearcutting often contain mixed alder-conifer stands which provide significantly higher understory biomass than in pure conifer forests. Many songbirds and mammals occur only in larger tracts of natural land cover. Fragmentation of wooded riparian areas by residential development or clearcuts can, over the long term, reduce the diversity of songbirds nesting in the remaining patches (e.g., Smith &amp; Wachob 2006). Breeding wetland birds sometimes do persist in small disturbed wetlands as long as much larger undisturbed wetlands nearby remain productive (e.g., Vermaat et al. 2008). Ideally, no clearing should result in a forest being fragmented into an isolate smaller than about 100 acres or narrower than 150 feet, and definitely not smaller than 2 acres or narrower than 100 feet (Donnelly &amp; Marzluff 2004, 2006).Theoretical and limited empirical data suggest that 30% or more forest cover across a large area is the threshold value above which landscapes might provide sufficient habitat and connectivity for many forest species, allowing those species' populations to survive even in small remaining patches (Andren 1994). Minimum patch sizes required for breeding by those forest songbirds (e.g., brown Creeper) which may be the most sensitive to forest fragmentation in the Pacific Northwest may be about 25 acres (Donnelly &amp; Marzluff 2004, 2006; Poulin et al. 2008). However, a study in British Columbia found patch size had little to do with the abundance or diversity of birds in patches of old growth forest (Schieck et al. 1995).</t>
  </si>
  <si>
    <t xml:space="preserve">Larger wetlands are used disproportionately by some species of nesting wetland-dependent songbirds. Smaller identical wetlands of equal cumulative area probably support lower numbers and cumulative richness of songbirds and mammals, unless they are close together and connected with corridors of undeveloped land.  However, for predicting bird diversity, some evidence from peatlands (Calmé and Desrochers 2000) suggests that wetland size may be less important than microhabitat heterogeneity (which is represented by other  indicators). </t>
  </si>
  <si>
    <t>Betts, M. G., G. J. Forbes, and A. W. Diamond. 2007. Thresholds in songbird occurrence in relation to landscape structure. Conservation Biology 21:1046-1058.</t>
  </si>
  <si>
    <t>Chetkiewicz, C. L. B. and M. S. Boyce. 2009. Use of resource selection functions to identify conservation corridors. Journal of Applied Ecology 46:1036-1047.</t>
  </si>
  <si>
    <t>Gentes, M.-L., A. McNabb, C. Waldner, and J. E. G. Smits. 2007. Increased thyroid hormone levels in tree swallows (Tachycineta bicolor) on reclaimed wetlands of the athabasca oil sands. Archives of Environmental Contamination and Toxicology 53:287-292.</t>
  </si>
  <si>
    <t>Hannon, S. J., C. A. Paszkowski, S. Boutin, J. DeGroot, S. E. Macdonald, M. Wheatley, and B. R. Eaton. 2002. Abundance and species composition of amphibians, small mammals, and songbirds in riparian forest buffer strips of varying widths in the boreal mixedwood of Alberta. Canadian Journal of Forest Research-Revue Canadienne De Recherche Forestiere 32:1784-1800.</t>
  </si>
  <si>
    <t>Hawkins, B. A., R. Field, H. V. Cornell, D. J. Currie, J.-F. Guégan, D. M. Kaufman, J. T. Kerr, G. G. Mittelbach, T. Oberdorff, and E. M. O'Brien. 2003. Energy, water, and broad-scale geographic patterns of species richness. Ecology 84:3105-3117.</t>
  </si>
  <si>
    <t>Hobson, K. A. and J. Schieck. 1999. Changes in bird communities in boreal mixedwood forest: Harvest and wildfire effects over 30 years. Ecological Applications 9:849-863.</t>
  </si>
  <si>
    <t>Machtans, C. S. and P. B. Latour. 2003. Boreal forest songbird communities of the Liard Valley, northwest territories, Canada. The Condor 105:27-44.</t>
  </si>
  <si>
    <t>Robichaud, I., M. A. Villard, and C. S. Machtans. 2002. Effects of forest regeneration on songbird movements in a managed forest landscape of Alberta, Canada. Landscape Ecology 17:247-262.</t>
  </si>
  <si>
    <t>Schieck, J., M. Nietfeid, and J. B. Stelfox. 1995. Differences in bird species richness and abundance among three successional stages of aspen-dominated boreal forests. Canadian Journal of Zoology 73:1417-1431.</t>
  </si>
  <si>
    <t>Szumigalski, A. R. and S. E. Bayley. 1997. Net aboveground primary production along a peatland gradient in central Alberta in relation to environmental factors. Ecoscience 4:385-393.</t>
  </si>
  <si>
    <t>Tigner, D. J. 2012. Measuring Wildlife Response to Seismic Lines to Inform Land Use Planning Decisions in Northwest Canada. Master's Thesis. University of Alberta, Edmonton, AB.</t>
  </si>
  <si>
    <t>Waller, J. S. and C. Servheen. 2005. Effects of transportation infrastructure on grizzly bears in northwestern Montana. Journal of Wildlife Management 69:985-1000.</t>
  </si>
  <si>
    <t>Wells, C. M. 2014. The Hydrology and Geochemistry of a Saline Spring Fen Peatland in the Athabasca Oil Sands Region of Alberta. Master's Thesis. University of Waterloo, Waterloo, ON.</t>
  </si>
  <si>
    <t>Invasive plants that can reduce wetland plant diversity are most prevalent where wetlands or their tributaries are adjoined by agricultural lands and other nutrient sources rather than by forest or other perennial cover (Hychka et al. 2007).</t>
  </si>
  <si>
    <t xml:space="preserve">Non-native plants that can reduce native plant richness tend to be more prevalent closer to population centers because many have been introduced intentionally or unintentionally by humans (Reichard &amp; White 2001a, b). </t>
  </si>
  <si>
    <t>Although urbanization typically reduces the diversity of plants in the forest understory, plant community composition in a Wisconsin study was better explained by the amount of surrounding forest than by environmental factors within the studied forests (Rogers et al. 2009). In Ontario, forested wetlands with the most plant species were those with the largest areas and the largest proportion of upland forest within ~ 800 ft of the wetlands (Houlahan et al. 2006). In Alberta's boreal region, areas of intermediate land cover disturbance (not unbroken wilderness) appear to support the most native plant species per unit area (Mayor 2014).</t>
  </si>
  <si>
    <r>
      <t xml:space="preserve">Open water supports fewer plant species than land, so a large proportion of open water in a wetland implies lower overall plant richness in most cases (Raab &amp; Bayley 2012), although at least a little open water is important to support aquatic species. </t>
    </r>
    <r>
      <rPr>
        <i/>
        <sz val="10"/>
        <rFont val="Arial Narrow"/>
        <family val="2"/>
      </rPr>
      <t>In calculations, is excluded automatically (cell goes blank) if wetland never has surface water during an average year.  Also is excluded automatically if wetland has no ponded water or is &lt;0.01 ha.</t>
    </r>
  </si>
  <si>
    <r>
      <t xml:space="preserve">Wetlands with wider vegetated areas are more likely to contain more plant species and rarer and more sensitive plants, as well as being more insulated from some upland disturbances (Raab &amp; Bayley 2012, Rooney &amp; Bayley 2011a, b). </t>
    </r>
    <r>
      <rPr>
        <i/>
        <sz val="10"/>
        <rFont val="Arial Narrow"/>
        <family val="2"/>
      </rPr>
      <t>In calculations, is excluded automatically (cell goes blank) if wetland never has surface water during an average year or if wetland lacks open water or is &lt;0.01 ha.</t>
    </r>
  </si>
  <si>
    <t>Different plant species occur under different moisture regimes, which correlate with different elevations (Šamonil et al. 2010), so a greater diversity of elevations (i.e., complex microtopography) often supports a wider variety of wetland plants (Benscoter &amp; Vitt 2008). Adding small ridges and furrows to constructed depressional wetlands was found in one study to increase their percent cover of obligate wetland species (Alsfeld et al. 2009). Wetlands with more varied topography (e.g., more hummocks) tend to have greater plant species richness because this created different flood frequencies within the wetland (Pollack et al. 1998).</t>
  </si>
  <si>
    <t>Invasion by non-native species typically results in (or at least, is accompanied by) a reduction in native plant species richness (e.g., Vujnovik et al. 2002). In other regions, a change of only 4 inches in mean water level or a change of only 3 cm in the degree of fluctuation may cause a shift from native to non-native species (Magee &amp; Kentula 2005).</t>
  </si>
  <si>
    <t xml:space="preserve">Alberta wetlands surrounded by natural land cover are more likely to support diverse native plant assemblages (Raab &amp; Bayley 2012, Rooney &amp; Bayley 2011a,b, 2012a, b; Wilson et al. 2013).  Lichens and mosses have been affected by edge-induced microclimate changes extending at least 50 ft into forested areas (Hylander et al. 2002, Boudreault et al. 2008) and as far as ~150 ft from the forest edge (Baldwin &amp; Bradfield 2005). </t>
  </si>
  <si>
    <t>Herbicides, salts, and other pollutants can alter the composition and sometimes the diversity of the plant community within a wetland (e.g., Rooney 2012c). Pollinators are extremely sensitive to some commonly used pesticides.</t>
  </si>
  <si>
    <t>Bork, E. W. and A. M. Burkinshaw. 2009. Cool-Season Floodplain Meadow Responses to Shrub Encroachment in Alberta. Rangeland Ecology &amp; Management 62:44-52.</t>
  </si>
  <si>
    <t>Forrest, A. 2010. Created Stormwater Wetlands as Wetland Compensation and a Floristic Quality Approach to Wetland Condition Assessment in Central Alberta. Master's Thesis. University of Alberta, Edmonton, AB.</t>
  </si>
  <si>
    <t>Gignac, L. D., D. Desmarais, and G. Beaudoin. 1994. Impact of a dirt road on surface-water and sphagnum chemistry and sphagnum growth on a peatland in northern Alberta, Canada. Comptes Rendus De L Academie Des Sciences Serie Iii-Sciences De La Vie-Life Sciences 317:943-953.</t>
  </si>
  <si>
    <t>Hychka, K. C., D. H. Wardrop, and R. P. Brooks. 2007. Enhancing a landscape assessment with intensive data: a case study in the Upper Juniata watershed. Wetlands 27:446-461.</t>
  </si>
  <si>
    <t>Lesack, L. F. W., P. Marsh, and R. E. Hecky. 1998. Spatial and temporal dynamics of major solute chemistry among Mackenzie Delta lakes. Limnology and Oceanography 43:1530-1543.</t>
  </si>
  <si>
    <t>Martell, K. A., A. L. Foote, and S. G. Cumming. 2006. Riparian disturbance due to beavers (Castor canadensis) in Alberta's boreal mixedwood forests: Implications for forest management. Ecoscience 13:164-171.</t>
  </si>
  <si>
    <t>Mayor, S. J., J. F. Cahill Jr, F. He, P. Sólymos, and S. Boutin. 2012. Regional boreal biodiversity peaks at intermediate human disturbance. Nature communications 3:1142.</t>
  </si>
  <si>
    <t>McClellan, M. H., T. Brock, and J. F. Baichtal. 2003. Calcareous fens in southeast Alaska. US Department of Agriculture, Forest Service, Pacific Northwest Research Station, Portland, OR.</t>
  </si>
  <si>
    <t>Ogbebo, F. E., M. S. Evans, R. B. Brua, and J. J. Keating. 2009. Limnological features and models of chlorophyll-a in 30 lakes located in the lower Mackenzie River basin, Northwest Territories, Canada. Journal of Limnology 68:336-351.</t>
  </si>
  <si>
    <t>Pavelsky, T. M. and L. C. Smith. 2009. Remote sensing of suspended sediment concentration, flow velocity, and lake recharge in the Peace-Athabasca Delta, Canada. Water Resources Research 45.</t>
  </si>
  <si>
    <t>Raab, D. and S. E. Bayley. 2012. A vegetation-based Index of Biotic Integrity to assess marsh reclamation success in the Alberta oil sands, Canada. Ecological Indicators 15:43-51.</t>
  </si>
  <si>
    <t>Reichard, S. H. and P. White. 2001a. Horticulture as a pathway of invasive plant introductions in the United States. Most invasive plants have been introduced for horticultural use by nurseries, botanical gardens, and individuals. Bioscience 51:103-113.</t>
  </si>
  <si>
    <t>Reichard, S. H. and P. White. 2001b. Horticultural introductions of invasive plant species: a North American perspective. Pages 161-170 in J. A. McNeely, editor. The Great Reshuffling. Human dimensions of invasive species. International Union for Conservation of Nature (IUCN), Gland, Switzerland.</t>
  </si>
  <si>
    <t>Rooney, R. C. and S. E. Bayley. 2011b. Setting reclamation targets and evaluating progress: Submersed aquatic vegetation in natural and post-oil sands mining wetlands in Alberta, Canada. Ecological Engineering 37:569-579.</t>
  </si>
  <si>
    <t>Rooney, R. and S. Bayley. 2012a. Development and testing of an index of biotic integrity based on submersed and floating vegetation and its application to assess reclamation wetlands in Alberta’s oil sands area, Canada. Environmental Monitoring and Assessment 184:749-761.</t>
  </si>
  <si>
    <t>Rooney, R. C. and S. E. Bayley. 2012b. Community congruence of plants, invertebrates and birds in natural and constructed shallow open-water wetlands: Do we need to monitor multiple assemblages? Ecological Indicators 20:42-50.</t>
  </si>
  <si>
    <t>Rooney, R. C. and S. E. Bayley. 2012c. Development and testing of an index of biotic integrity based on submersed and floating vegetation and its application to assess reclamation wetlands in Alberta's oil sands area, Canada. Environmental Monitoring and Assessment 184:749-761.</t>
  </si>
  <si>
    <t>Safford, H. D. and S. P. Harrison. 2001. Grazing and substrate interact to affect native vs. exotic diversity in roadside grasslands. Ecological Applications 11:1112-1122.</t>
  </si>
  <si>
    <t>Schmidt, W. 1989. Plant dispersal by motor cars. Vegetatio 70:147–152.</t>
  </si>
  <si>
    <t>Sokal, M. A., R. I. Hall, and B. B. Wolfe. 2010. The role of flooding on inter‐annual and seasonal variability of lake water chemistry, phytoplankton diatom communities and macrophyte biomass in the Slave River Delta (Northwest Territories, Canada). Ecohydrology 3:41-54.</t>
  </si>
  <si>
    <t>Trant, A. J., T. B. Herman, and S. V. Good-Avila. 2010. Effects of anthropogenic disturbance on the reproductive ecology and pollination service of Plymouth gentian (Sabatia kennedyana Fern.), a lakeshore plant species at risk. Plant Ecology 210:241-252.</t>
  </si>
  <si>
    <t>Turetsky, M. R. and S. Ripley. 2005. Decomposition in extreme-rich fens of boreal Alberta, Canada. Soil Science Society of America Journal 69:1856-1860.</t>
  </si>
  <si>
    <t>Vujnovic, K., R. W. Wein, and M. R. T. Dale. 2002. Predicting plant species diversity in response to disturbance magnitude in grassland remnants of central Alberta. Canadian Journal of Botany-Revue Canadienne De Botanique 80:504-511.</t>
  </si>
  <si>
    <t>Whitehouse, H. E. and S. E. Bayley. 2005. Vegetation patterns and biodiversity of peatland plant communities surrounding mid-boreal wetland ponds in Alberta, Canada. Canadian Journal of Botany 83:621-637.</t>
  </si>
  <si>
    <t>Wilson, M. J., S. E. Bayley, and R. C. Rooney. 2013. A plant‐based index of biological integrity in permanent marsh wetlands yields consistent scores in dry and wet years. Aquatic Conservation: Marine and Freshwater Ecosystems 23:698-709.</t>
  </si>
  <si>
    <t>Wolfe, B. B., T. L. Karst-Riddoch, S. R. Vardy, M. D. Falcone, R. I. Hall, and T. W. D. Edwards. 2005. Impacts of climate and river flooding on the hydro-ecology of a floodplain basin, Peace-Athabasca Delta, Canada since AD 1700. Quaternary Research 64:147-162.</t>
  </si>
  <si>
    <t>DeMars, C., D. Leowinata, C. Thiessen, and S. Boutin. 2011. Assessing Spatial Factors Affecting Predation Risk to Boreal Caribou Calves: Implications for Management. University of Alberta and Ministry of Natural Resource, Edmonton, AB.</t>
  </si>
  <si>
    <t>Dunford, J. S., P. D. McLoughlin, F. Dalerum, and S. Boutin. 2006. Lichen abundance in the peatlands of northern Alberta: Implications for boreal caribou. Ecoscience 13:469-474.</t>
  </si>
  <si>
    <t>Dyer, S. J., J. P. O'Neill, S. M. Wasel, and S. Boutin. 2001. Avoidance of industrial development by woodland caribou. The Journal of Wildlife Management:531-542.</t>
  </si>
  <si>
    <t>Ferguson, S. H. and P. C. Elkie. 2005. Use of lake areas in winter by woodland caribou. Northeastern Naturalist 12:45-66.</t>
  </si>
  <si>
    <t>Gunn, A. 2004. Boreal Caribou Habitat and Land Use Planning in the Deh Cho Region, Northwest Territories. Department of Resources, Wildlife, and Economic Development, Government of the Northwest Territories, Fort Smith, NT.</t>
  </si>
  <si>
    <t>Klein, D. R. 1982. Fire, lichens, and caribou. Journal of Range Management 35:390-395.</t>
  </si>
  <si>
    <t>Latham, A. D. M., M. C. Latham, M. S. Boyce, and S. Boutin. 2011b. Movement responses by wolves to industrial linear features and their effect on woodland caribou in northeastern Alberta. Ecological Applications 21:2854-2865.</t>
  </si>
  <si>
    <t>McLoughlin, P. D., J. S. Dunford, and S. Boutin. 2005. Relating predation mortality to broad‐scale habitat selection. Journal of Animal Ecology 74:701-707.</t>
  </si>
  <si>
    <t>Schneider, R. R., B. Wynes, S. Wasel, E. Dzus, and H. Hiltz. 2000. Habitat use by caribou in northern Alberta, Canada. Rangifer 20:43-50.</t>
  </si>
  <si>
    <t>Smith, K. G., E. J. Ficht, D. Hobson, T. C. Sorensen, and D. Hervieux. 2000. Winter distribution of woodland caribou in relation to clear-cut logging in west-central Alberta. Canadian Journal of Zoology 78:1433-1440.</t>
  </si>
  <si>
    <t>TDS and/or Conductivity</t>
  </si>
  <si>
    <t>Woody Cover by Height</t>
  </si>
  <si>
    <t xml:space="preserve"> Exclude moss growing on trees or rocks. [INV, OE, PH]</t>
  </si>
  <si>
    <t>Few or none that meet these criteria.</t>
  </si>
  <si>
    <t>Do not include N-fixing algae or lichens. Select only the first true statement. [INV, OE, PH]</t>
  </si>
  <si>
    <t xml:space="preserve">Despite potential increases in water retention due to post-fire compression of peat, fire generally causes a reduction in the water storage capacity of peatlands.  That is due partly to decreased evapotranspiration (Thompson &amp; Waddington 2013).  </t>
  </si>
  <si>
    <t>Considerable amounts of water can be stored below the land surface in peat and coarse-textured substrates. However, very little new runoff can be stored if the substrates are already saturated or remain frozen for much of the year, e.g., permafrost. Peat tends to be saturated much of the time. In many wetlands with coarse-textured substrate, groundwater discharge dominates thus keeping those soils saturated much of the time and thus limiting the capacity to store additional water. At any rate the uppermost soil layer is not necessarily a strong indicator of underlying surficial geologic structure, which exerts greater influence on water storage (Devito et al. 2005), but is impossible to assess rapidly.</t>
  </si>
  <si>
    <t xml:space="preserve">AVERAGE(PondPct4, Gradient4, Thruflo4, Girreg4, Constric4, VwidthAbs4) </t>
  </si>
  <si>
    <t>Presence of contaminant sources suggests the potential for long-term harm to fish populations as a result of direct toxicity; sublethal effects (e.g., Jeffries et al. 2008); changes in temperature, ice, and dissolved oxygen (Chambers et al. 2000); and altered food sources. If water containing toxic substances enters a wetland, the wetland has much less capacity to support fish, or fish may be unsafe to consume. Resident fish are especially prone to bioaccumulation of locally-sourced metals (e.g., Deniseger et al. 1990).</t>
  </si>
  <si>
    <t xml:space="preserve">Many invertebrate groups (e.g., snails, isopods, lumbricid worms) cannot tolerate acidic conditions of bogs, and invertebrate richness generally tends to be greater in fens and marshes (Holmquist et al. 2011), especially those fens and marshes that contain persistently flooded areas.  Water levels in marshes tend to fluctuate more than those in fens (which are fed by more stable groundwater sources), and fluctuating water levels usually make nutrients more available to aquatic food chains.  Marshes along lakes and rivers tend to have water longer into the growing season than other marshes and can support high abundance and diversity of invertebrates, except where suspended silt reduces aquatic plant biomass. Productivity of herbaceous vegetation (potentially an indicator of invertebrate productivity and richness) is generally higher in marshes than in fens and is especially greater than in bogs (Szumigalski &amp; Bayley 1996a, b; Szumigalski et al.1996; Thormann &amp; Bayley 1997a, b, c, d).  However, in northeastern Alberta, peat-dominated "muskeg" lakes (usually fens) are more productive than "sinkhole" or "Canadian Shield" lakes (usually marshes) because they tend to occur on calcareous rather than granitic or limestone bedrock and have more carbon and nitrate (Moser et al. 1998). Regardless, bogs and fens may not differ significantly from each other with regard to invertebrate faunas (Cannings &amp; Cannings 1994). On a per-surface-area basis, deciduous trees often support higher levels of insect biomass than conifers, at least among nocturnal flying insects (Ober and Hayes 2008). Dragonflies seemed to respond to the habitat's form and structure more than to its acidity or nutrient levels. </t>
  </si>
  <si>
    <t>Larval amphibians (tadpoles) in Alberta are very sensitive to hydrocarbons and many other toxins, e.g., Pollett &amp; Bendell-Young 2000, Hersikorn &amp; Smits 2011.  Tiger salamanders were harmed by concentrations of 75 and 250 mu g/L atrazine, an herbicide commonly applied near Alberta wetlands (Larson et al 1998).  High levels of some substances from livestock use and wastewater effluent can harm amphibian populations and reduce amphibian diversity, e.g., Schmutzer et al. 2008).</t>
  </si>
  <si>
    <t>Fire Break (FB)</t>
  </si>
  <si>
    <t>ABWRET-a Score</t>
  </si>
  <si>
    <t>Bradshaw, C. J. A., D. M. Hebert, A. B. Rippin, and S. Boutin. 1995. Winter peatland habitat selection by woodland caribou in northeastern Alberta. Canadian Journal of Zoology 73:1567-1574.</t>
  </si>
  <si>
    <t>Fen</t>
  </si>
  <si>
    <t>If intercept is Fen, score =1.  Else =0.</t>
  </si>
  <si>
    <t>If intercept is Fen or Bog or Marsh, score =1.  Else =0.</t>
  </si>
  <si>
    <t>If intercept is Fen or Marsh or Swamp, score =1.  Else =0.</t>
  </si>
  <si>
    <t>Marsh</t>
  </si>
  <si>
    <t>If intercept is Marsh, score =1.  Else =0.</t>
  </si>
  <si>
    <t>SwampMarsh</t>
  </si>
  <si>
    <t>Wet Wooded</t>
  </si>
  <si>
    <t>If intercept is Forested (AAFC = Coniferous Forest, Deciduous Forest, Mixed Forest) OR AGCC= codes 50 through 63, OR wetland class= Swamp, then score =1.  Else =0.</t>
  </si>
  <si>
    <t>Number of different classes that ADJOIN the wetland, including the class of the wetland itself.</t>
  </si>
  <si>
    <t>Number of different wetland classes within 1 km of the intercept.  If no GPS point taken in wetland, buffer from the centroid of the wetland.</t>
  </si>
  <si>
    <r>
      <t xml:space="preserve">1 (yes) or 0 (no).  Does wetland polygon ADJOIN a </t>
    </r>
    <r>
      <rPr>
        <b/>
        <sz val="10"/>
        <rFont val="Arial Narrow"/>
        <family val="2"/>
        <scheme val="minor"/>
      </rPr>
      <t>lake</t>
    </r>
    <r>
      <rPr>
        <sz val="10"/>
        <rFont val="Arial Narrow"/>
        <family val="2"/>
        <scheme val="minor"/>
      </rPr>
      <t xml:space="preserve"> or </t>
    </r>
    <r>
      <rPr>
        <b/>
        <sz val="10"/>
        <rFont val="Arial Narrow"/>
        <family val="2"/>
        <scheme val="minor"/>
      </rPr>
      <t>river</t>
    </r>
    <r>
      <rPr>
        <sz val="10"/>
        <rFont val="Arial Narrow"/>
        <family val="2"/>
        <scheme val="minor"/>
      </rPr>
      <t xml:space="preserve"> polygon?</t>
    </r>
  </si>
  <si>
    <t>1 (yes) or 0 (no). Does wetland include a Groundwater Discharge Area or a Spring?</t>
  </si>
  <si>
    <r>
      <t xml:space="preserve">1 (yes) or 0 (no).  Does wetland polygon ADJOIN a </t>
    </r>
    <r>
      <rPr>
        <b/>
        <sz val="10"/>
        <rFont val="Arial Narrow"/>
        <family val="2"/>
        <scheme val="minor"/>
      </rPr>
      <t>lake</t>
    </r>
    <r>
      <rPr>
        <sz val="10"/>
        <rFont val="Arial Narrow"/>
        <family val="2"/>
        <scheme val="minor"/>
      </rPr>
      <t xml:space="preserve"> polygon, or wetland class= Open Water and wetland is &gt;8 ha.</t>
    </r>
  </si>
  <si>
    <t>If wetland is Marsh, divide its Area by that of all wetlands within 1 km (including this wetland) that are classified as Marsh.  If wetland is not Marsh, enter NULL.</t>
  </si>
  <si>
    <t>If wetland is Fen or Marsh or Swamp, divide its Area by that of all wetlands within 1 km (including this wetland) that are classified as Fen or Marsh or Swamp.  If wetland is neither Fen or Marsh or Swamp, enter NULL.</t>
  </si>
  <si>
    <r>
      <rPr>
        <b/>
        <sz val="10"/>
        <rFont val="Arial Narrow"/>
        <family val="2"/>
        <scheme val="minor"/>
      </rPr>
      <t>Number</t>
    </r>
    <r>
      <rPr>
        <sz val="10"/>
        <rFont val="Arial Narrow"/>
        <family val="2"/>
        <scheme val="minor"/>
      </rPr>
      <t xml:space="preserve"> of adjoining wetland polygons that are classified as Open Water (including the wetland itself if it is classified as Open Water), divided by the number of adjoining wetland polygons.</t>
    </r>
  </si>
  <si>
    <t xml:space="preserve"> for the Invertebrate Habitat function the raw value is converted to a score as follows: &lt;1%=0.2;  1%-5%=0.6; 6-30%=0.8, 31-70%=1; 71-99%=0.4; &gt;99%=0.  From Alberta Merged Wetland Inventory map layer.</t>
  </si>
  <si>
    <t>for the Invertebrate Habitat function the raw value is converted to a score as follows: &lt;1%=0;  1%-5%=0.4; 6-30%=0.8, 31-70%=1; 71-99%=0.6; &gt;99%=0.2.  From Alberta Merged Wetland Inventory map layer.</t>
  </si>
  <si>
    <t xml:space="preserve">If the wetland is not classified as Open Water, sum its area plus the area of adjoining wetland polygons that are not classified as Open Water. </t>
  </si>
  <si>
    <t>FireBreak</t>
  </si>
  <si>
    <t>If NonFuel in this layer or if wetland layer says Open Water, then =1.  Else =0.</t>
  </si>
  <si>
    <t>LinearImpact</t>
  </si>
  <si>
    <t>In saline wetlands, phosphorus often complexes with calcium.  It then precipitates and that facilitates retention.  Also, wetlands with moss cover and moderate to high conductivity (such as rich fens) retain phosphorus effectively (Prepas et al. 2001).  In calculations, the concentration of TDS is divided by 1000 and/or the conductivity measurement is divided by 1000, and the greater of the two becomes the indicator score.  If the result of the division exceeds 1, it is converted to 1.</t>
  </si>
  <si>
    <t>F69</t>
  </si>
  <si>
    <t>Distance to Tailings Pond</t>
  </si>
  <si>
    <t>The distance between the AA and the nearest industrial (e.g., tailings) pond in which waterbirds could land and be exposed to contaminants is:</t>
  </si>
  <si>
    <t>Mark ALL of the following that apply to this AA:</t>
  </si>
  <si>
    <t>Sustained Scientific Use: Plants, animals, or water in the AA have been monitored for &gt;2 years, unrelated to any regulatory requirements, and data are available to the public.  Or the AA is part of an area that has been designated by an agency or institution as a benchmark, reference, or status-trends monitoring area.</t>
  </si>
  <si>
    <t>None of the above, or no information for any.</t>
  </si>
  <si>
    <t>Plants or Animals of Conservation Concern</t>
  </si>
  <si>
    <t>One or more of the rare fish species was detected within the AA.</t>
  </si>
  <si>
    <t>One or more of the rare amphibian species was detected within the AA.</t>
  </si>
  <si>
    <t>One or more of the rare waterbird species was detected within the AA.</t>
  </si>
  <si>
    <t>One or more of the rare songbird or mammal species was detected within the AA.</t>
  </si>
  <si>
    <t>None of the above, or no data.</t>
  </si>
  <si>
    <t>Prior Investment in the Wetland</t>
  </si>
  <si>
    <t>F67</t>
  </si>
  <si>
    <t>F68</t>
  </si>
  <si>
    <t>Carbon from marshes and fens is often more biodegradable (and thus more exportable and valuable to food chains over a wider area) than bog and forested wetland carbon (Szumigalski &amp; Bayley 1996b, D’Amore et al. 2010). The same may be true of carbon from riparian shrub/forest wetlands, and their connectivity to other water bodies is usually greater, potentially leading to greater export.  In particular, leaf litter from deciduous shrubs and trees tends to break down and cycle in receiving waters more rapidly than that of coniferous trees and shrubs. Bogs usually have the largest amounts of carbon in storage (as peat), but connectivity to other water bodies is generally less than other wetland types, thus limiting export..  Bogs, poor fens, and moderate-rich fens tend to fix carbon more readily than more fertile wetlands (marshes) (Szumigalski &amp; Bayley 1996a, Glenn et al. 2006). Aquatic beds (submerged macrophytes) produce modest amounts of carbon which is in continual contact with water.</t>
  </si>
  <si>
    <t>Wettype11</t>
  </si>
  <si>
    <t>Linear</t>
  </si>
  <si>
    <t>Firebreak</t>
  </si>
  <si>
    <t>Tymstra, C.; Bryce, R.W.; Wotton, B.M.; Taylor, S.W.; Armitage, O.B. 2010. Development and Structure of Prometheus: the Canadian Wildland Fire Growth Simulation Model. Nat. Resour. Can., Can. For. Serv., North. For. Cent., Edmonton, AB.
Inf. Rep. NOR-X-417.</t>
  </si>
  <si>
    <t>From Tymstra et al. 2012</t>
  </si>
  <si>
    <t>Capacity to resist ignition by wildfire, thus limiting wildfire spread.</t>
  </si>
  <si>
    <t>RareSBM</t>
  </si>
  <si>
    <t>RareWB</t>
  </si>
  <si>
    <t>RareAM</t>
  </si>
  <si>
    <t>RareFish</t>
  </si>
  <si>
    <t>RarePlant2</t>
  </si>
  <si>
    <r>
      <t>Cott, P. A., B. A. Zajdlik, K. J. Bourassa, M. Lange, and A. M. Gordon. 2010. Effects of Forest Fire on Young-of-the-year Northern Pike,</t>
    </r>
    <r>
      <rPr>
        <i/>
        <sz val="10"/>
        <rFont val="Arial Narrow"/>
        <family val="2"/>
      </rPr>
      <t xml:space="preserve"> Esox lucius,</t>
    </r>
    <r>
      <rPr>
        <sz val="10"/>
        <rFont val="Arial Narrow"/>
        <family val="2"/>
      </rPr>
      <t xml:space="preserve"> in the Northwest Territories. Canadian Field-Naturalist 124:104-112.</t>
    </r>
  </si>
  <si>
    <t>1 (yes) or 0 (no).  Layer from AEP 2010, minimum resolvable unit is 0.02 ha.</t>
  </si>
  <si>
    <t>1 (yes) or 0 (no) based on flood hazard (floodways and flood fringes) from AEP River Forecast Section and merged with lotic riparian area layer (AEP 2011, 0.02 ha minimum revolvable unit).</t>
  </si>
  <si>
    <t>Hallock, R.J. and L.L. Hallock (ed.), 1993. Detailed Study of Irrigation Drainage in and near Wildlife Management Areas, West-CentralNevada, 1987-90. Part B. Effect on Biota in Stillwater and Fernley Wildlife Management Areas and other Nearby Wetlands. US Geological Survey, Water Resources Investigations Report 92-4024B.</t>
  </si>
  <si>
    <r>
      <t>TDS is: [</t>
    </r>
    <r>
      <rPr>
        <i/>
        <sz val="10"/>
        <rFont val="Arial Narrow"/>
        <family val="2"/>
      </rPr>
      <t xml:space="preserve">enter the reading </t>
    </r>
    <r>
      <rPr>
        <b/>
        <i/>
        <sz val="10"/>
        <rFont val="Arial Narrow"/>
        <family val="2"/>
      </rPr>
      <t xml:space="preserve">in ppm </t>
    </r>
    <r>
      <rPr>
        <i/>
        <sz val="10"/>
        <rFont val="Arial Narrow"/>
        <family val="2"/>
      </rPr>
      <t>or mg/L in the column to the right if measured, or answer next row</t>
    </r>
    <r>
      <rPr>
        <sz val="10"/>
        <rFont val="Arial Narrow"/>
        <family val="2"/>
      </rPr>
      <t>]:</t>
    </r>
  </si>
  <si>
    <t>Kerekes, J. and J.R. Nursall, 1966. Eutrophication and senescence in a group of Prairie-Parkland Lakes in Alberta, Canada. Verhandlungen der Internationalen Vereinigung fur theoretische und angewandte Limnologie, 16: 65-73.</t>
  </si>
  <si>
    <t>Van Sickle, J.. and S. V. Gregory. 1990. Modeling inputs of large woody debris to streams from falling trees. Canadian Journal of Forest Research 20:1593-1601.</t>
  </si>
  <si>
    <t>Waite, I. R., S. Sobieszczyk, K. D. Carpenter, A. J. Arnsberg, H. M. Johnson, C. A. Hughes, M. J. Sarantou, and F. A. Rinella. 2008. Effects of Urbanization on Stream Ecosystems in the Willamette River Basin and Surrounding Area,Oregon and Washington: U.S. Geological Survey Scientific Investigations Report 2006–5101–D., U.S. Geological Survey, Portland, OR.</t>
  </si>
  <si>
    <r>
      <t xml:space="preserve">Fewer resident fish thrive in nutrient-poor acidic ponds. Lakes and wetlands that are naturally acidic tend to have lower aquatic productivity and fewer fish species compared to non-acidic wetlands of the same size (Rahel 1984, Rago &amp; Wiener 1986).  However, as pond size increases and ponds begin to resemble lakes, alkalinity often increases and consequently the ability to support a wider array of aquatic animals. Even where surrounded by bog vegetation and acidic soils with high DOC (Dissolved Organic Carbon) concentrations, many of these lakes are not acidic, especially when located low in a watershed (Eilers et al. 1993). </t>
    </r>
    <r>
      <rPr>
        <i/>
        <sz val="10"/>
        <rFont val="Arial Narrow"/>
        <family val="2"/>
      </rPr>
      <t>In calculations, is excluded automatically (cell goes blank) if wetland is &lt;0.01 ha.  If acidic (pH &lt;4) or extremely basic (pH&gt;9) water is present, the  indicator score is set to zero, but otherwise the indicator is ignored.</t>
    </r>
  </si>
  <si>
    <t>Most native fish species in this region have low tolerance for highly saline waters.  If wetland is saline or brackish (TDS greater than about 2000 ppm, Mount et al. 1997), the score for this indicator is 0.  Also, very low TDS (&lt;20 ppm) or conductivity (&lt;30 µS/cm) results in an indicator score of 0 because it indicates relatively infertile waters that can impair productivity of some native fish species. Intermediate values are ignored in the calculations and do not reduce the score.</t>
  </si>
  <si>
    <r>
      <t xml:space="preserve">When non-acidic ponds are available, ducks prefer to nest in those rather than acidic lakes and wetlands (Epners et al. 2010).  </t>
    </r>
    <r>
      <rPr>
        <i/>
        <sz val="10"/>
        <rFont val="Arial Narrow"/>
        <family val="2"/>
      </rPr>
      <t xml:space="preserve">In calculations is scored 0 if pH is less than 5 or water is tea-colored, otherwise is excluded from calculations (cell goes blank automatically). </t>
    </r>
  </si>
  <si>
    <t xml:space="preserve">Presence of contaminant sources suggests the potential for long-term harm to waterbird populations as a result of direct toxicity; sublethal effects (e.g., reduced reproductive success as a result of bioaccumulation of toxins in foods, Hebert et al. 2011) and altered food sources. </t>
  </si>
  <si>
    <t>In northern Alberta, wastewater ponds are believed to result in an annual mortality of 458 to 5,029 birds (Timoney &amp; Ronconi 2010).</t>
  </si>
  <si>
    <t>HazPond</t>
  </si>
  <si>
    <t>AVERAGE(Dist2DevCrop, HazPond, BuffNatPct13, Core1_13, Core2_13, BMP_13, ToxSource13)</t>
  </si>
  <si>
    <t>Linear Impact Index</t>
  </si>
  <si>
    <t>Indicator Abbreviation</t>
  </si>
  <si>
    <t xml:space="preserve">Indicator Abbreviation   </t>
  </si>
  <si>
    <t xml:space="preserve">Indicator Abbreviation    </t>
  </si>
  <si>
    <t>Because of their relative rarity, these species contribute more to regional biodiversity than ones with broader habitat tolerances.</t>
  </si>
  <si>
    <r>
      <t xml:space="preserve">Herbaceous rather than woody vegetation is the most attractive nesting cover for most species of waterbirds (Bolenbaugh et al. 2011, Kuczynski et al. 2012, DUC 2014), partly because it provides food as well as cover.  Trees near water edges discourage use of those areas by some waterbird species (Thompson et al. 2012), probably because it potentially conceals or provides a perch for predators such as eagles and falcons (Shepherd &amp; Lank 2004, Sprague et al. 2008). </t>
    </r>
    <r>
      <rPr>
        <i/>
        <sz val="10"/>
        <rFont val="Arial Narrow"/>
        <family val="2"/>
      </rPr>
      <t xml:space="preserve"> In calculations, is scored 0 automatically if trees occupy &gt;50% of the wetland. Otherwise, this indicator is ignored (goes blank).</t>
    </r>
  </si>
  <si>
    <r>
      <t xml:space="preserve">Woody vegetation provides vertical structure that enables more individuals and species to inhabit a wetland.  It also provides shelter from weather and cover from predators.  A wider diversity of cover types supports a wider variety of wetand-dependent songbird and mammal species. </t>
    </r>
    <r>
      <rPr>
        <i/>
        <sz val="10"/>
        <rFont val="Arial Narrow"/>
        <family val="2"/>
        <scheme val="minor"/>
      </rPr>
      <t xml:space="preserve"> In calculations, the score is the percentage of the potential number of categories (6) comprising more than 5% of the wetland.</t>
    </r>
  </si>
  <si>
    <r>
      <t xml:space="preserve">Deciduous forests, because of their less acidic soils and more open canopies, often support greater plant richness than coniferous forests.  Larger-diameter stands sometime indicate more mature soils which support more native plant species than younger stands with comparable light conditions. </t>
    </r>
    <r>
      <rPr>
        <i/>
        <sz val="10"/>
        <rFont val="Arial Narrow"/>
        <family val="2"/>
      </rPr>
      <t>In calculations, is excluded automatically (cell goes blank) if trees occupy &lt;5% of the vegetated part of the AA. Otherwise, score is based on the number of categories and a weighted average that favors larger deciduous trees.</t>
    </r>
  </si>
  <si>
    <r>
      <t>Dzus, E. 2001. Status of the Woodland Caribou (</t>
    </r>
    <r>
      <rPr>
        <i/>
        <sz val="10"/>
        <rFont val="Arial Narrow"/>
        <family val="2"/>
      </rPr>
      <t>Rangifer tarandus caribou</t>
    </r>
    <r>
      <rPr>
        <sz val="10"/>
        <rFont val="Arial Narrow"/>
        <family val="2"/>
      </rPr>
      <t>) in Alberta. Alberta Wildlife Status Report No. 30. Alberta Environment and Sustainable Resource Development, Edmonton, AB.</t>
    </r>
  </si>
  <si>
    <t>Stuart-Smith, A. K., C. J. A. Bradshaw, S. Boutin, D. M. Hebert, and A. B. Rippin. 1997. Woodland caribou relative to landscape patterns in northeastern Alberta. Journal of Wildlife Management 61:622-633.</t>
  </si>
  <si>
    <r>
      <t xml:space="preserve">IF((RareSBM=1),10, IF((OR(CaribouRange=1, CaribouFound=1)),10, </t>
    </r>
    <r>
      <rPr>
        <b/>
        <sz val="10"/>
        <rFont val="Arial Narrow"/>
        <family val="2"/>
      </rPr>
      <t>ELSE</t>
    </r>
    <r>
      <rPr>
        <sz val="10"/>
        <rFont val="Arial Narrow"/>
        <family val="2"/>
      </rPr>
      <t>: 10*MAX(CaribouFound, AVERAGE(UniqClass, HabStrucS, CfixS,  LscapeS, StressS))</t>
    </r>
  </si>
  <si>
    <t>CaribouRange</t>
  </si>
  <si>
    <t>CaribouFound</t>
  </si>
  <si>
    <t>AEP "Caribou Range" layer  Yes=1.  No=0.</t>
  </si>
  <si>
    <r>
      <t>Bakker, V. and K. Hastings. 2002. Den trees used by northern flying squirrels (</t>
    </r>
    <r>
      <rPr>
        <i/>
        <sz val="10"/>
        <rFont val="Arial Narrow"/>
        <family val="2"/>
        <scheme val="minor"/>
      </rPr>
      <t>Glaucomys sabrinus</t>
    </r>
    <r>
      <rPr>
        <sz val="10"/>
        <rFont val="Arial Narrow"/>
        <family val="2"/>
        <scheme val="minor"/>
      </rPr>
      <t>) in southeastern Alaska. Canadian Journal of Zoology 80:1623-1633.</t>
    </r>
  </si>
  <si>
    <r>
      <t>Latham, A. D. M., M. C. Latham, and M. S. Boyce. 2011a. Habitat selection and spatial relationships of black bears (</t>
    </r>
    <r>
      <rPr>
        <i/>
        <sz val="10"/>
        <rFont val="Arial Narrow"/>
        <family val="2"/>
      </rPr>
      <t>Ursus americanus</t>
    </r>
    <r>
      <rPr>
        <sz val="10"/>
        <rFont val="Arial Narrow"/>
        <family val="2"/>
      </rPr>
      <t>) with woodland caribou (</t>
    </r>
    <r>
      <rPr>
        <i/>
        <sz val="10"/>
        <rFont val="Arial Narrow"/>
        <family val="2"/>
      </rPr>
      <t>Rangifer tarandus caribou</t>
    </r>
    <r>
      <rPr>
        <sz val="10"/>
        <rFont val="Arial Narrow"/>
        <family val="2"/>
      </rPr>
      <t>) in northeastern Alberta. Canadian Journal of Zoology 89:267-277.</t>
    </r>
  </si>
  <si>
    <t>Reid, D. G., T. E. Code, A. C. H. Reid, and S. M. Herrero. 1994. Spacing, movements, and habitat selection of the river otter in boreal Alberta. Canadian Journal of Zoology 72:1314-1324.</t>
  </si>
  <si>
    <t>was not measured but surface water is NOT tea-colored. Enter "1" in column to the right.</t>
  </si>
  <si>
    <t>was not measured, and plants that indicate saline conditions are absent or in trace amounts. Enter "1" in column to the right.</t>
  </si>
  <si>
    <t>was not measured, but plants that indicate saline conditions are present. Enter "1" in column to the right.</t>
  </si>
  <si>
    <t>Peat, present to 40 cm depth or greater.</t>
  </si>
  <si>
    <t>Organic or organic muck, but becomes mineral before reaching 40 cm depth.</t>
  </si>
  <si>
    <t>Tributary Inflow</t>
  </si>
  <si>
    <t>[AM, INV, NR, PH, SBM, WB]</t>
  </si>
  <si>
    <t>[POL, SBM]</t>
  </si>
  <si>
    <t>Do not include wetlands created by beaver dams except for the part where former uplands were flooded. Determine this using historical aerial photography, old maps, soil maps, or permit files as available [ NR, OE, PH ]</t>
  </si>
  <si>
    <t>[HU]</t>
  </si>
  <si>
    <t>Fish from connected waters can access at least part of the AA during one or more days annually, or are otherwise known to be present in the AA at least temporarily. If true, enter "1" in next column.  If untrue or unlikely, enter "0".</t>
  </si>
  <si>
    <t>At some time of the year, mats of algae and/or duckweed cover &gt;50% of the AA's otherwise-unshaded water surface, or blanket &gt;50% of the underwater substrate.  If true, enter "1" in next column.  If untrue or unlikely, enter "0".</t>
  </si>
  <si>
    <r>
      <t xml:space="preserve">Excessive human traffic and free-roaming pets can harm native amphibians directly (collecting and predation) and indirectly (habitat alteration), so measures to reduce such impacts are given credit.  </t>
    </r>
    <r>
      <rPr>
        <i/>
        <sz val="10"/>
        <rFont val="Arial Narrow"/>
        <family val="2"/>
        <scheme val="minor"/>
      </rPr>
      <t>In calculations, is excluded automatically (cell goes blank) if last choice in F62 was chosen AND first choice in F63 was chosen.</t>
    </r>
  </si>
  <si>
    <r>
      <t xml:space="preserve">Fringe wetlands adjoin expanses of open water that are visually appealing as well as providing opportunity for fishing and water sports.  </t>
    </r>
    <r>
      <rPr>
        <i/>
        <sz val="10"/>
        <rFont val="Arial Narrow"/>
        <family val="2"/>
      </rPr>
      <t>If wetland is not a fringe wetland, then ignored in calculations rather than being counted as a negative. Also ignored if F42 indicates an unsightly growth of algae or duckweed is dominant.</t>
    </r>
  </si>
  <si>
    <r>
      <t xml:space="preserve">The expanses of open water that characterise lakes are visually appealing as well as providing opportunity for fishing and water sports. </t>
    </r>
    <r>
      <rPr>
        <i/>
        <sz val="10"/>
        <rFont val="Arial Narrow"/>
        <family val="2"/>
      </rPr>
      <t>If wetland is not part of a lake, then ignored in calculations rather than being counted as a negative. Also ignored if F42 indicates an unsightly growth of algae or duckweed is dominant.</t>
    </r>
  </si>
  <si>
    <r>
      <t xml:space="preserve">Open water areas, especially if ponded, are visually appealing as well as providing opportunity for fishing and water sports. </t>
    </r>
    <r>
      <rPr>
        <i/>
        <sz val="10"/>
        <rFont val="Arial Narrow"/>
        <family val="2"/>
      </rPr>
      <t>In calculations, is excluded automatically (cell goes blank) if wetland never has surface water during an average year.  Also is excluded automatically if wetland has no ponded water or is &lt;0.01 ha..  Because the simple presence (rather than amount) of open water matters most, the largest jump in the score occurs when at least a little open water is present.  Also ignored if F42 indicates an unsightly growth of algae or duckweed is dominant.</t>
    </r>
  </si>
  <si>
    <r>
      <t xml:space="preserve">Such features and practices minimize damage to plants and wildlife and thus help sustain the natural features that attract people to wetlands. </t>
    </r>
    <r>
      <rPr>
        <i/>
        <sz val="10"/>
        <rFont val="Arial Narrow"/>
        <family val="2"/>
      </rPr>
      <t>In calculations, is excluded automatically (cell goes blank) if last choice in F62 was chosen AND first choice in F63 was chosen.</t>
    </r>
  </si>
  <si>
    <t>Non-regulatory Investment: The AA is part of or contiguous to a wetland on which public or private organizational funds were spent to preserve, create, restore, enhance, the wetland (excluding mitigation wetlands).</t>
  </si>
  <si>
    <t>One or more of the rare plant species was detected within the AA.</t>
  </si>
  <si>
    <t>Include visits by foot, canoe, kayak, or any non-motorized mode. Exclude visits that are not likely to continue and/or that are not an annual occurrence, e.g., by construction or monitoring crews. [AM, PH, HU, SBM,  WB]</t>
  </si>
  <si>
    <t>"Low impact" means adherence to Best Management Practices such as those defined by certification groups. Evidence of these consumptive uses may consist of direct observation, or presence of physical evidence (e.g., recently cut stumps, fishing lures, shell cases), or might be obtained from communication with the land owner or manager. [HU]</t>
  </si>
  <si>
    <t>If unknown, assume this is true if there is an inhabited structure within the specified distance and the neighborhood is known to not be connected to a municipal drinking water system (e.g., is outside a densely settled area). [HU]</t>
  </si>
  <si>
    <t>[PH, HU]</t>
  </si>
  <si>
    <t>[Fire]</t>
  </si>
  <si>
    <t>The 1 hectare and 1% thresholds represent the minimum cumulative area of that type within the vegetated AA, i.e., add up the multiple patches. [INV, PH, SBM, WC]</t>
  </si>
  <si>
    <t>If parts of the AA are flat but others are highly irregular, base your answer on which condition predominates in the parts of the AA that lack persistent water. [AM, INV, NR, PH, POL, PR, SBM, SR, WS]</t>
  </si>
  <si>
    <t>Inclusions are slightly elevated "islands" or "pockets" dominated by upland vegetation and soils. Do not count as inclusions the elevated roots of trees or logs unless supported by a mound of soil meeting the size threshold.  Upland inclusions may sometimes be created by fill. [AM, NR, SBM]</t>
  </si>
  <si>
    <t>Do not include duff (loose organic surface material, e.g., dead plant leaves and stems). If texture varies greatly, base your answer on which texture predominates in the parts of the AA that lack persistent water. [ NR, OE, PH, PR, SFS, WS]</t>
  </si>
  <si>
    <t>This addresses needs of many migratory sandpipers, plovers, and related species, but not Wilson's snipe. [WB]</t>
  </si>
  <si>
    <t>[INV, PH, POL]</t>
  </si>
  <si>
    <t>coniferous trees (including tamarack) taller than 3 m.</t>
  </si>
  <si>
    <t>deciduous trees taller than 3 m.</t>
  </si>
  <si>
    <t>deciduous shrubs or trees 1-3 m tall not directly below the canopy of trees &gt;3 m (e.g., deciduous saplings).</t>
  </si>
  <si>
    <t>deciduous shrubs or trees &lt;1 m tall (e.g., deciduous seedlings).</t>
  </si>
  <si>
    <t>Several (&gt;5 if AA is &gt;5 hectares, less for smaller AAs).</t>
  </si>
  <si>
    <t>coniferous, 1-9 cm diameter and &gt;1 m tall.</t>
  </si>
  <si>
    <t>broad-leaved deciduous 1-9 cm diameter and &gt;1 m tall.</t>
  </si>
  <si>
    <t>coniferous, 10-19 cm diameter.</t>
  </si>
  <si>
    <t>broad-leaved deciduous 10-19 cm diameter.</t>
  </si>
  <si>
    <t>coniferous, 20-40 cm diameter.</t>
  </si>
  <si>
    <t>broad-leaved deciduous 20-40 cm diameter.</t>
  </si>
  <si>
    <t>coniferous, &gt;40 cm diameter.</t>
  </si>
  <si>
    <t>broad-leaved deciduous &gt;40 cm diameter.</t>
  </si>
  <si>
    <t>&lt;1% or none.</t>
  </si>
  <si>
    <t>&lt;5% of the ground cover, or none.</t>
  </si>
  <si>
    <t>5-25% of the ground cover.</t>
  </si>
  <si>
    <t>25-50% of the ground cover.</t>
  </si>
  <si>
    <t>50-95% of the ground cover.</t>
  </si>
  <si>
    <t>&gt;95% of the ground cover.</t>
  </si>
  <si>
    <t>Other conditions.</t>
  </si>
  <si>
    <t>Intermediate.</t>
  </si>
  <si>
    <t>Several (extensive micro-topography).</t>
  </si>
  <si>
    <t>Few or none.</t>
  </si>
  <si>
    <t>Loamy: includes loam, sandy loam.</t>
  </si>
  <si>
    <t>Peat, but becomes mineral before reaching 40 cm depth.</t>
  </si>
  <si>
    <t>During any 2 consecutive weeks of the growing season, the extent of mudflats, bare unshaded saturated areas not covered by thatch, and unshaded waters shallower than 6 cm is:  [include also any area that immediately adjoins the AA].</t>
  </si>
  <si>
    <t>&lt;5% of the vegetated AA.</t>
  </si>
  <si>
    <t>&lt;0.01 hectare and &lt;1% of the herbaceous cover (excluding mosses).</t>
  </si>
  <si>
    <t>1-30% of the herbaceous cover.</t>
  </si>
  <si>
    <t>30-60% of the herbaceous cover.</t>
  </si>
  <si>
    <t>60-90% of the herbaceous cover.</t>
  </si>
  <si>
    <t>&gt;90% of the herbaceous cover.</t>
  </si>
  <si>
    <t>some (but &lt;5%) of the upland edge.</t>
  </si>
  <si>
    <t>5-50% of the upland edge.</t>
  </si>
  <si>
    <t>most (&gt;50%) of the upland edge.</t>
  </si>
  <si>
    <t>1-5% of the AA.</t>
  </si>
  <si>
    <t>5-25% of the AA.</t>
  </si>
  <si>
    <t>25-50% of the AA.</t>
  </si>
  <si>
    <t>50-95% of the AA.</t>
  </si>
  <si>
    <t>&gt;95% of the AA.</t>
  </si>
  <si>
    <t>5-25% of the water is shaded.</t>
  </si>
  <si>
    <t>25-50% of the water is shaded.</t>
  </si>
  <si>
    <t>50-75% of the water is shaded.</t>
  </si>
  <si>
    <t>&gt;75% of the water is shaded.</t>
  </si>
  <si>
    <t>&lt;10 cm deep (but &gt;0).</t>
  </si>
  <si>
    <t>10 - 50 cm deep.</t>
  </si>
  <si>
    <t>0.5 - 1 m deep.</t>
  </si>
  <si>
    <t>1 - 2 m deep.</t>
  </si>
  <si>
    <t>5-30% of the water.</t>
  </si>
  <si>
    <t>30-70% of the water.</t>
  </si>
  <si>
    <t>70-99% of the water.</t>
  </si>
  <si>
    <t>was not measured, and surface water is tea-colored. Enter "1" in column to the right.</t>
  </si>
  <si>
    <r>
      <t xml:space="preserve">bumps into tree trunks and/or shrub stems and follows a fairly </t>
    </r>
    <r>
      <rPr>
        <b/>
        <sz val="10"/>
        <rFont val="Arial Narrow"/>
        <family val="2"/>
      </rPr>
      <t>indirect</t>
    </r>
    <r>
      <rPr>
        <sz val="10"/>
        <rFont val="Arial Narrow"/>
        <family val="2"/>
      </rPr>
      <t xml:space="preserve"> path from entrance to exit (meandering, multi-branched, or braided).</t>
    </r>
  </si>
  <si>
    <t>persistent (&gt;9 months/year, including times when frozen).</t>
  </si>
  <si>
    <t>seasonal (14 days to 9 months/year, not necessarily consecutive, including times when frozen).</t>
  </si>
  <si>
    <t>temporary (&lt;14 days, not necessarily consecutive, but must be unfrozen).</t>
  </si>
  <si>
    <t>yes, but time of origin unknown.</t>
  </si>
  <si>
    <t>burned within past 5 years.</t>
  </si>
  <si>
    <t>burned 6-10 years ago.</t>
  </si>
  <si>
    <t>burned 11-30 years ago.</t>
  </si>
  <si>
    <t>easily visible.</t>
  </si>
  <si>
    <t>somewhat visible.</t>
  </si>
  <si>
    <t>barely or not visible.</t>
  </si>
  <si>
    <t>&lt;5% and no inhabited building is within 100 m of the AA.</t>
  </si>
  <si>
    <t>&lt;5% and inhabited building is within 100 m of the AA.</t>
  </si>
  <si>
    <t>5-50% and no inhabited building is within 100 m of the AA.</t>
  </si>
  <si>
    <t>5-50% and inhabited building is within 100 m of the AA.</t>
  </si>
  <si>
    <t>Low-impact commercial timber harvest (e.g., selective thinning).</t>
  </si>
  <si>
    <t>Grazing by livestock.</t>
  </si>
  <si>
    <r>
      <t>Harvesting of native plants, native hay, or mushrooms (observed or known,</t>
    </r>
    <r>
      <rPr>
        <b/>
        <sz val="10"/>
        <rFont val="Arial Narrow"/>
        <family val="2"/>
      </rPr>
      <t xml:space="preserve"> not </t>
    </r>
    <r>
      <rPr>
        <sz val="10"/>
        <rFont val="Arial Narrow"/>
        <family val="2"/>
      </rPr>
      <t>assumed).</t>
    </r>
  </si>
  <si>
    <t>Hunting (observed or known, not assumed).</t>
  </si>
  <si>
    <t>Furbearer trapping.</t>
  </si>
  <si>
    <t>Fishing (observed or known, not assumed).</t>
  </si>
  <si>
    <t>No evidence of any of the above.</t>
  </si>
  <si>
    <t xml:space="preserve">Annual precipitation minus evapotranspiration. Based on Canadian Forest Service average precip and ET during growing season 1971-2000, minimum resolution of 1 km2. </t>
  </si>
  <si>
    <t>Wetland Vegetated Area (in hectares)</t>
  </si>
  <si>
    <r>
      <t xml:space="preserve">Distance to any polygon whose ABMI=code 1200  </t>
    </r>
    <r>
      <rPr>
        <u/>
        <sz val="10"/>
        <rFont val="Arial Narrow"/>
        <family val="2"/>
        <scheme val="minor"/>
      </rPr>
      <t>OR</t>
    </r>
    <r>
      <rPr>
        <sz val="10"/>
        <rFont val="Arial Narrow"/>
        <family val="2"/>
        <scheme val="minor"/>
      </rPr>
      <t xml:space="preserve"> their AAFC= Annual Crops, Exposed, Built-up </t>
    </r>
    <r>
      <rPr>
        <u/>
        <sz val="10"/>
        <rFont val="Arial Narrow"/>
        <family val="2"/>
        <scheme val="minor"/>
      </rPr>
      <t>OR</t>
    </r>
    <r>
      <rPr>
        <sz val="10"/>
        <rFont val="Arial Narrow"/>
        <family val="2"/>
        <scheme val="minor"/>
      </rPr>
      <t xml:space="preserve"> their AGCC= Urban (12) or Commercial and Industrial (13).  If none within 1 km buffer, report as </t>
    </r>
    <r>
      <rPr>
        <b/>
        <sz val="10"/>
        <rFont val="Arial Narrow"/>
        <family val="2"/>
        <scheme val="minor"/>
      </rPr>
      <t xml:space="preserve">1.00. </t>
    </r>
  </si>
  <si>
    <r>
      <t xml:space="preserve"> If none within 1 km buffer, report as </t>
    </r>
    <r>
      <rPr>
        <b/>
        <sz val="10"/>
        <rFont val="Arial Narrow"/>
        <family val="2"/>
        <scheme val="minor"/>
      </rPr>
      <t>1.00.</t>
    </r>
  </si>
  <si>
    <t>If none within 1 km buffer, report as 0.  See list for included NATURAL COVER classes (AAFC &amp; AGCC).</t>
  </si>
  <si>
    <t>1 (yes) or 0 (no).</t>
  </si>
  <si>
    <t>coded 0 if no roads within 1km.</t>
  </si>
  <si>
    <t>Measured within 100m radius of Wetland Centroid.</t>
  </si>
  <si>
    <t>If none within 1 km buffer, report as 0.  See bottom of list for included classes (AAFC &amp; AGCC).</t>
  </si>
  <si>
    <t>Join the wetland's polygon with all adjoining wetland polygons.  Then measure the outer perimeter and area of that joined polygon.  Divide the perimeter (in m) by 2 times the square root of:   the area (in square m) times pi (3.14).</t>
  </si>
  <si>
    <r>
      <t xml:space="preserve">Measure distance to any polygon whose ABMI=code 1200  </t>
    </r>
    <r>
      <rPr>
        <u/>
        <sz val="10"/>
        <rFont val="Arial Narrow"/>
        <family val="2"/>
        <scheme val="minor"/>
      </rPr>
      <t>OR</t>
    </r>
    <r>
      <rPr>
        <sz val="10"/>
        <rFont val="Arial Narrow"/>
        <family val="2"/>
        <scheme val="minor"/>
      </rPr>
      <t xml:space="preserve"> their AAFC= Built-up </t>
    </r>
    <r>
      <rPr>
        <u/>
        <sz val="10"/>
        <rFont val="Arial Narrow"/>
        <family val="2"/>
        <scheme val="minor"/>
      </rPr>
      <t>OR</t>
    </r>
    <r>
      <rPr>
        <sz val="10"/>
        <rFont val="Arial Narrow"/>
        <family val="2"/>
        <scheme val="minor"/>
      </rPr>
      <t xml:space="preserve"> their AGCC= Urban (12) or Commercial and Industrial (13).  If none within 1 km buffer, report as </t>
    </r>
    <r>
      <rPr>
        <b/>
        <sz val="10"/>
        <rFont val="Arial Narrow"/>
        <family val="2"/>
        <scheme val="minor"/>
      </rPr>
      <t>1.00.</t>
    </r>
  </si>
  <si>
    <t>Fen, Bog, or Marsh</t>
  </si>
  <si>
    <t>Fen, Marsh, or Swamp</t>
  </si>
  <si>
    <t>Distance to the Nearest Land Cover Classified as Industrial (Measured from Wetland Edge).</t>
  </si>
  <si>
    <t>Caribou Found</t>
  </si>
  <si>
    <t>Caribou Range</t>
  </si>
  <si>
    <t>MarshArea/ Marsh Area Within 1k</t>
  </si>
  <si>
    <t>% Natural Cover Within 1km</t>
  </si>
  <si>
    <t>Road Density Within 1km Buffer</t>
  </si>
  <si>
    <t>Density of Weighted Linear Features Within 1 km</t>
  </si>
  <si>
    <t>Fen or Marsh or Wet Wooded Area/ All Fen, Marsh, and Wet Wooded Within 1k</t>
  </si>
  <si>
    <t>Fish                     Habitat</t>
  </si>
  <si>
    <t>Infiltration or Evapotranspiration Capacity of Wetland [INFILT]</t>
  </si>
  <si>
    <t>Although many aquatic invertebrate species tolerate extremes of pH, species richness tends to be greatest where pH is circumneutral.</t>
  </si>
  <si>
    <r>
      <t>Conductivity is  [</t>
    </r>
    <r>
      <rPr>
        <i/>
        <sz val="10"/>
        <rFont val="Arial Narrow"/>
        <family val="2"/>
      </rPr>
      <t xml:space="preserve">enter the reading </t>
    </r>
    <r>
      <rPr>
        <b/>
        <i/>
        <sz val="10"/>
        <rFont val="Arial Narrow"/>
        <family val="2"/>
      </rPr>
      <t xml:space="preserve">in µS/cm </t>
    </r>
    <r>
      <rPr>
        <i/>
        <sz val="10"/>
        <rFont val="Arial Narrow"/>
        <family val="2"/>
      </rPr>
      <t>in the column to the right</t>
    </r>
    <r>
      <rPr>
        <sz val="10"/>
        <rFont val="Arial Narrow"/>
        <family val="2"/>
      </rPr>
      <t>]:</t>
    </r>
  </si>
  <si>
    <t>Native Plant         &amp;          Pollinator Habitat</t>
  </si>
  <si>
    <t>Fire                 Barrier</t>
  </si>
  <si>
    <t>Songbird, Raptor &amp; Mammal Habitat</t>
  </si>
  <si>
    <t>Benscoter, B. W., D. H. Vitt, et al. 2005. Association of postfire peat accumulation and microtopography in boreal bogs. Canadian Journal of Forest Research 35(9): 2188-2193.</t>
  </si>
  <si>
    <t>AEP</t>
  </si>
  <si>
    <t>FISH</t>
  </si>
  <si>
    <t>Arctic Lamprey</t>
  </si>
  <si>
    <t>Prickly Sculpin</t>
  </si>
  <si>
    <t>Deepwater Sculpin</t>
  </si>
  <si>
    <t>Lake Sturgeon</t>
  </si>
  <si>
    <t>Shortjaw Cisco</t>
  </si>
  <si>
    <t>Pygmy Whitefish</t>
  </si>
  <si>
    <t>Round Whitefish</t>
  </si>
  <si>
    <t>Brassy Minnow</t>
  </si>
  <si>
    <t>River Shiner</t>
  </si>
  <si>
    <t>Northern Squawfish</t>
  </si>
  <si>
    <t>Silver Redhorse</t>
  </si>
  <si>
    <t>Logperch</t>
  </si>
  <si>
    <t>AMPHIBIANS</t>
  </si>
  <si>
    <t>Long-toed Salamander</t>
  </si>
  <si>
    <t>Western Toad</t>
  </si>
  <si>
    <t>Canadian Toad</t>
  </si>
  <si>
    <t>Northern Leopard Frog</t>
  </si>
  <si>
    <t>MAMMALS</t>
  </si>
  <si>
    <t>Long-legged Myotis</t>
  </si>
  <si>
    <t>Northern Myotis</t>
  </si>
  <si>
    <t>Silver-haired Bat</t>
  </si>
  <si>
    <t>Red Bat</t>
  </si>
  <si>
    <t>Hoary Bat</t>
  </si>
  <si>
    <t>Taiga Vole</t>
  </si>
  <si>
    <t>Prairie Vole</t>
  </si>
  <si>
    <t>Grizzly Bear</t>
  </si>
  <si>
    <t>Wolverine</t>
  </si>
  <si>
    <t>Woodland Caribou</t>
  </si>
  <si>
    <t>Wood Bison</t>
  </si>
  <si>
    <t>Hooded Merganser</t>
  </si>
  <si>
    <t>Red-breasted Merganser</t>
  </si>
  <si>
    <t>Red-throated Loon</t>
  </si>
  <si>
    <t>Pacific Loon</t>
  </si>
  <si>
    <t>Virginia Rail</t>
  </si>
  <si>
    <t>Semipalmated Plover</t>
  </si>
  <si>
    <t>Piping Plover</t>
  </si>
  <si>
    <t>Mew Gull (colonies)</t>
  </si>
  <si>
    <t>Caspian Tern (colonies)</t>
  </si>
  <si>
    <t>Arctic Tern (colonies)</t>
  </si>
  <si>
    <t>Great-crested Flycatcher</t>
  </si>
  <si>
    <t>Gray-cheeked Thrush</t>
  </si>
  <si>
    <t>Sprague's Pipit</t>
  </si>
  <si>
    <t>Richardson caribou radiotracking layer: frequency (percentage)</t>
  </si>
  <si>
    <t>WetVegArea + OWarea</t>
  </si>
  <si>
    <r>
      <t xml:space="preserve">Sum of areas of </t>
    </r>
    <r>
      <rPr>
        <b/>
        <sz val="10"/>
        <rFont val="Arial Narrow"/>
        <family val="2"/>
        <scheme val="minor"/>
      </rPr>
      <t xml:space="preserve">adjoining </t>
    </r>
    <r>
      <rPr>
        <sz val="10"/>
        <rFont val="Arial Narrow"/>
        <family val="2"/>
        <scheme val="minor"/>
      </rPr>
      <t>wetland polygons that are classified as Open Water, plus area of the AA polygon if it is Open Water.</t>
    </r>
  </si>
  <si>
    <t>RWVAU</t>
  </si>
  <si>
    <t>OF52</t>
  </si>
  <si>
    <t>OF53</t>
  </si>
  <si>
    <t>OF54</t>
  </si>
  <si>
    <t>OF55</t>
  </si>
  <si>
    <t>OF56</t>
  </si>
  <si>
    <r>
      <t xml:space="preserve">At least a small amount of woody cover enhances plant diversity within a wetland, but more often, too much implies that shading of the understory by a woody plant canopy will limit the diversity of herbaceous plants. Plant diversity is often greater without the shading and nutrient-competitive effects of trees (Hanley &amp; Brady 1997).  Intermediate levels of canopy closure usually support the most plant species (e.g., Halpern &amp; Spies 1995, Chavez &amp; Macdonald 2010, Chipman &amp; Johnson 2002). Shrubs contribute to onsite plant diversity, but are generally less diverse than herbaceous plants. Shrubs shade out herbaceous plants, with effects being more noticeable above ~35% shrub cover (Bork &amp; Burkinshaw 2009).  Shrubs also compete for nutrients. One Alberta study found understory plant diversity was greatest at about 64% shrub overstory (Bork &amp; Burkinshaw 2009). Pollinating insects are often abundant in short (&lt;1 m) evergreen shrubs because those have the most flowers.  Sparse shrub cover sometimes indicates overgrazing by deer, which reduces plant diversity (Allombert et al. 2005). Such damage to shrubs and ground cover occurs in places where fragmentation of forests has created deer densities of more than about 1 per 25 acres (Thiemann et al. 2009, Martin et al. 2010).   </t>
    </r>
    <r>
      <rPr>
        <i/>
        <sz val="10"/>
        <rFont val="Arial Narrow"/>
        <family val="2"/>
      </rPr>
      <t>In calculations, if coniferous cover taller than 1 m was coded 5, the indicator score is set to 0. If coniferous cover taller than 1 m was coded 4, the indicator score is set to 0.2. Otherwise, the indicator score is the number of classes with other conditions, divided by 6 (the potential number of classes).</t>
    </r>
  </si>
  <si>
    <t>Function Raw Scores (ABWRET-A)</t>
  </si>
  <si>
    <t>for the Amphibian Habitat function the raw value is converted to a score as follows: &lt;1%=0.2;  1%-99%=1.0; &gt;99%=0.  From Alberta Merged Wetland Inventory map layer.</t>
  </si>
  <si>
    <t>Invasive species comprise 20-50% of the herb cover (or woody cover, if the invasives are woody).</t>
  </si>
  <si>
    <t>Invasive species comprise &gt;50% of the herb cover (or woody cover, if the invasives are woody).</t>
  </si>
  <si>
    <r>
      <t xml:space="preserve">If any items were checked above, then for each row of the table below, you may assign points.  However, if you believe the checked items had </t>
    </r>
    <r>
      <rPr>
        <b/>
        <i/>
        <sz val="10"/>
        <color rgb="FF000000"/>
        <rFont val="Arial Narrow"/>
        <family val="2"/>
      </rPr>
      <t xml:space="preserve">no measurable effect </t>
    </r>
    <r>
      <rPr>
        <i/>
        <sz val="10"/>
        <color rgb="FF000000"/>
        <rFont val="Arial Narrow"/>
        <family val="2"/>
      </rPr>
      <t xml:space="preserve">on the timing, depth, or volume in any part of the AA, then leave the "0's" for the scores in the following rows.  To estimate effects, contrast the current condition with the condition if the checked items never occurred or were no longer present. </t>
    </r>
  </si>
  <si>
    <r>
      <t xml:space="preserve">Excessive Sediment Loading </t>
    </r>
    <r>
      <rPr>
        <b/>
        <i/>
        <sz val="12"/>
        <color rgb="FF000000"/>
        <rFont val="Arial"/>
        <family val="2"/>
      </rPr>
      <t>from Contributing Area</t>
    </r>
  </si>
  <si>
    <r>
      <t xml:space="preserve">* </t>
    </r>
    <r>
      <rPr>
        <b/>
        <sz val="10"/>
        <color rgb="FF000000"/>
        <rFont val="Arial Narrow"/>
        <family val="2"/>
      </rPr>
      <t>high</t>
    </r>
    <r>
      <rPr>
        <sz val="10"/>
        <color rgb="FF000000"/>
        <rFont val="Arial Narrow"/>
        <family val="2"/>
      </rPr>
      <t xml:space="preserve">-intensity= extensive off-road vehicle use, plowing, grading, excavation, erosion with or without veg removal; </t>
    </r>
    <r>
      <rPr>
        <b/>
        <sz val="10"/>
        <color rgb="FF000000"/>
        <rFont val="Arial Narrow"/>
        <family val="2"/>
      </rPr>
      <t xml:space="preserve"> low</t>
    </r>
    <r>
      <rPr>
        <sz val="10"/>
        <color rgb="FF000000"/>
        <rFont val="Arial Narrow"/>
        <family val="2"/>
      </rPr>
      <t>-intensity= veg removal only with little or no apparent erosion or disturbance of soil or sediment</t>
    </r>
  </si>
  <si>
    <r>
      <t xml:space="preserve">Soil or Sediment Alteration </t>
    </r>
    <r>
      <rPr>
        <b/>
        <i/>
        <sz val="12"/>
        <color rgb="FF000000"/>
        <rFont val="Arial"/>
        <family val="2"/>
      </rPr>
      <t>Within the Assessment Area</t>
    </r>
  </si>
  <si>
    <t>Leave Column Blank</t>
  </si>
  <si>
    <t>Normalized Score (ABWRET_A)  Based on 102 Calibration Sites</t>
  </si>
  <si>
    <t>Wetland as a % of Its Contributing Area (Catchment)</t>
  </si>
  <si>
    <t>Follow the key below and mark the ONE row that best describes MOST of the AA:</t>
  </si>
  <si>
    <t>A1</t>
  </si>
  <si>
    <t>A2</t>
  </si>
  <si>
    <t>no types other than the predominant one in F1 meet the stated conditions.</t>
  </si>
  <si>
    <t>B1</t>
  </si>
  <si>
    <t>B2</t>
  </si>
  <si>
    <t>Interspersion of Tall and Short Vegetation</t>
  </si>
  <si>
    <t>% Never With Surface Water</t>
  </si>
  <si>
    <t xml:space="preserve">Springs are known to be present within the AA, or if groundwater levels have been monitored, that has demonstrated that groundwater primarily discharges to the wetland for longer periods during the year than periods when the wetland recharges the groundwater. 
</t>
  </si>
  <si>
    <t>Percent of Buffer with Perennial Vegetation</t>
  </si>
  <si>
    <t>Type1</t>
  </si>
  <si>
    <t>WetPctCA1</t>
  </si>
  <si>
    <t>AVERAGE(Gwater7, GWDspring, WclassDom7)</t>
  </si>
  <si>
    <t>WetPctCA2</t>
  </si>
  <si>
    <t>Final Score (A, B, C, D)</t>
  </si>
  <si>
    <t>WetPctCA3</t>
  </si>
  <si>
    <t xml:space="preserve">Nitrate Removal &amp;  Retention </t>
  </si>
  <si>
    <t>HerbWoodMix4</t>
  </si>
  <si>
    <t xml:space="preserve">Tree roots can extend the subsurface zone of denitrification by oxidizing deeper subsurface areas, as well as retaining drifting snow which helps sustain soil moisture necessary for denitrification. Trees also take up and temporarily retain nitrate, as well as adding carbon to the soil, which promotes denitrification. </t>
  </si>
  <si>
    <t>Coniferous (mainly evergreen) vegetation limits denitirication by fostering acidic soil conditions and limiting light penetration (and thus soil temperature) in spring (Hennon et al. 2010, Chavez &amp; Macdonald 2010).</t>
  </si>
  <si>
    <t>Part or all of the AA resulted from human actions that persistently expanded a naturally occurring wetland or created a wetland where there previously was none (e.g., by excavation, impoundment):</t>
  </si>
  <si>
    <t>WoodType6</t>
  </si>
  <si>
    <t>WoodyPct8</t>
  </si>
  <si>
    <t>The distribution of several wetland invertebrate species is limited largely to springs and seeps, so their presence is especially important to regional biodiversity.</t>
  </si>
  <si>
    <t>Springs and other groundwater discharge areas help sustain low flows and maintain stream temperatures important to fish.</t>
  </si>
  <si>
    <t>Offsite Habitat Support [LscapeAm]</t>
  </si>
  <si>
    <t>Frogs, snakes, and aquatic salamanders frequently use multiple wetlands in close proximity, such that wetlands located within landscapes with a high proportion of wetland cover are more likely to cumulatively meet the needs of these species, especially for dispersal to alternative breeding sites during years of drought. One amphibian study found that the amount of available habitat within a given radius of a patch was more successful at predicting successful amphibian immigration than distance to nearest patch of suitable habitat (Bender 2003).   Bogs are excluded because of their generally lower use by most amphibian species.</t>
  </si>
  <si>
    <t>Reduced Risk of Stressors and Fish Predation [StressA]</t>
  </si>
  <si>
    <t>AVERAGE(1-Sub0Days, WetArea, RipFloodpl, OutDura10, Depth10, IsoDry10, OWpct10)</t>
  </si>
  <si>
    <t>UniqMarshShallowOW</t>
  </si>
  <si>
    <t>If wetland was classified Marsh or Shallow Open Water, divide its Area by that of all wetlands within 1 km (including this wetland) that are classified as that.  If wetland is neither, enter NULL.</t>
  </si>
  <si>
    <t>Private owner who allows public access.</t>
  </si>
  <si>
    <t>Private owner who does not allow access, or access permission unknown.</t>
  </si>
  <si>
    <t>AVERAGE(InterspersPD, WoodyCovPD, HerbWood15, ClassRichIn15, wood2pd, herbdom15, dbhPD, sedgePD, forbsPD)</t>
  </si>
  <si>
    <t xml:space="preserve">If required, survey the AA for plant or animal species at risk in Alberta (see list in RarePlants or RareAnimals worksheet tabs), especially if the data review conducted during the office phase of this assessment indicated their past presence in the general vicinity. Do so at appropriate times of the year. If you do detect these species or have reliable knowledge of their recent (within ~5 years) occurrence within the AA, indicate that below.  </t>
  </si>
  <si>
    <t>AVERAGE [AVERAGE(SatPct7, Shade7), AVERAGE(Depth7, ISOdry7, OpenPonded7)]</t>
  </si>
  <si>
    <t>Within the area described above, and during most of the time when surface water is present, it usually is comprised of: (select one):</t>
  </si>
  <si>
    <t>One depth class covering &gt;90% of the AA’s inundated area (use the classes in the question above).</t>
  </si>
  <si>
    <t>One depth class covering 51-90% of the AA's inundated area.</t>
  </si>
  <si>
    <t>[ MAX(RaptorNest, BioDivZone) + AVERAGE(GrowDD, RipFloodpl, Wettype14, Sedge14, ForbCov14, Beaver14a)] /2</t>
  </si>
  <si>
    <t>Woody vegetation, especially coniferous trees and deciduous shrubs, is capable of facilitating higher loss of water via transpiration (Ambrose &amp; Stirling 2014). This is partly because tree roots penetrate deeper into the water table.  But at the same time, woody vegetation can reduce water loss via shading, increased infiltration, and buffering of evaporative air currents (Brummer et al. 2012).  For this model, it is presumed the processes described in the first sentence are the more dominant ones in most of this region's wetlands.  Mosses and lichens also can remove substantial amounts of water from wetlands (Brown et al. 2010).  The indicator score assumes that water loss via transpiration is generally greater from trees than from shrubs or woody ground cover, and that water loss via transpiration is generally greater from coniferous than from deciduous vegetation.</t>
  </si>
  <si>
    <t>Open water provides no fuel to support fire combustion and spread.</t>
  </si>
  <si>
    <t>Wetlands with mostly persistent water provide little fuel to support fire combustion and spread.</t>
  </si>
  <si>
    <t>Areas recently burned are less likely in the near term (and possibly in the long term as well) to support the combustion and spread of new fires.</t>
  </si>
  <si>
    <t>Ambrose, S. M. and S. M. Sterling. 2014. Global patterns of annual actual evapotranspiration with land-cover type: knowledge gained from a new observation-based database. Hydrology and Earth System Sciences Discussions 11(10):12103-12135.</t>
  </si>
  <si>
    <t>Brümmer, C., Black, T. A., Jassal, R. S., Grant, N. J., Spittlehouse, D. L., Chen, B., and Bourque, C. P. A.  2012. How climate and vegetation type influence evapotranspiration and water use efficiency in Canadian forest, peatland and grassland ecosystems. Agricultural and Forest Meteorology 153: 14-30.</t>
  </si>
  <si>
    <t>Chow, V.T. (ed.). 1964. Handbook of Applied Hydrology.  New York, McGraw-Hill, A Compendium of Water Resources Technology.</t>
  </si>
  <si>
    <t>Headwater wetlands that are large relative to the size of their contributing areas are often more able to store or infiltrate the runoff they receive, because they have more storage space and receive proportionately less runoff, other factors being equal.  However, their large size despite having a small contributing area in some cases indicates they are groundwater discharge areas, and as a consequence they may be saturated much of the time and thus have less capacity for storing new runoff.</t>
  </si>
  <si>
    <t>Headwater wetlands that are large relative to the size of their contributing areas are often more able to store the sediment=bound phosphorus they receive, because they have more proportionately more retention space and receive proportionately less phosphorus loading, other factors being equal.</t>
  </si>
  <si>
    <t xml:space="preserve">Headwater wetlands that are large relative to the size of their contributing areas are often more able to store the sediment they receive, because they have more proportionately more storage space and receive proportionately less runoff, other factors being equal.  Sediment deposition can be predicted largely by the ratio of the volume of a storage basin to the volume of runoff entering the basin (Heinemann 1981). </t>
  </si>
  <si>
    <t>Heinemann, H. G. 1981. A new sediment trap efficency curve for small reservoirs. Water Resources Bulletin 17:825-830.</t>
  </si>
  <si>
    <t>Wetland Identifier:</t>
  </si>
  <si>
    <t>Name of Assessor:</t>
  </si>
  <si>
    <t>Name of Company:</t>
  </si>
  <si>
    <t>Legal Land Description(s) of site:</t>
  </si>
  <si>
    <t>Approximate size of the Assessment Area (AA, in hectares)</t>
  </si>
  <si>
    <r>
      <t xml:space="preserve">AA as percent of entire </t>
    </r>
    <r>
      <rPr>
        <b/>
        <sz val="11"/>
        <rFont val="Arial"/>
        <family val="2"/>
      </rPr>
      <t>wetland</t>
    </r>
    <r>
      <rPr>
        <sz val="11"/>
        <rFont val="Arial"/>
        <family val="2"/>
      </rPr>
      <t xml:space="preserve"> (approx.)</t>
    </r>
  </si>
  <si>
    <r>
      <t xml:space="preserve">What percent (approx.) of the </t>
    </r>
    <r>
      <rPr>
        <b/>
        <sz val="11"/>
        <rFont val="Arial"/>
        <family val="2"/>
      </rPr>
      <t>AA</t>
    </r>
    <r>
      <rPr>
        <sz val="11"/>
        <rFont val="Arial"/>
        <family val="2"/>
      </rPr>
      <t xml:space="preserve"> were you able to visit?</t>
    </r>
  </si>
  <si>
    <t>How many wetlands have you assessed previously using this tool (approx.)?</t>
  </si>
  <si>
    <t xml:space="preserve">Have you received formal training in ABWRET-A (Yes or No) </t>
  </si>
  <si>
    <t>Is this assessment done for the purpose of submitting a regulatory application? (Yes or No)</t>
  </si>
  <si>
    <t>Is this assessment related to a compliance incident? (Yes or No)</t>
  </si>
  <si>
    <t>Is this assessment related to a research project, training course, or any other purpose other than a regulatory requirement? (Yes or No). Please specify.</t>
  </si>
  <si>
    <t>Comments :</t>
  </si>
  <si>
    <r>
      <t xml:space="preserve">DIRECTIONS:  </t>
    </r>
    <r>
      <rPr>
        <sz val="12"/>
        <rFont val="Arial Narrow"/>
        <family val="2"/>
      </rPr>
      <t>Walk for no less than 10 minutes from the wetland edge towards its core, in the part of the AA that is proposed for alteration.  If no alteration is proposed, walk in a portion that appears to be most representative of the wetland overall. Walk only where it is safe and legal to do so.  Conduct this assessment only after reading the accompanying Manual and the Explanations column of the data form.  In the Data column, unless indicated otherwise, change the 0 (false) to a 1 (true) for the best choice, or mark "1" for multiple choices where allowed and so indicated.  Answer these questions primarily based on your onsite observations and interpretations. Answering some questions accurately may require conferring with the landowner or other knowledgable persons, and/or reviewing aerial imagery.  Report only the conditions believed to prevail during the majority of the past 5 years, unless requested otherwise.</t>
    </r>
  </si>
  <si>
    <r>
      <t>B</t>
    </r>
    <r>
      <rPr>
        <sz val="10"/>
        <rFont val="Arial Narrow"/>
        <family val="2"/>
      </rPr>
      <t xml:space="preserve">. Moss and/or lichen cover </t>
    </r>
    <r>
      <rPr>
        <b/>
        <sz val="10"/>
        <rFont val="Arial Narrow"/>
        <family val="2"/>
      </rPr>
      <t>less than 25%</t>
    </r>
    <r>
      <rPr>
        <sz val="10"/>
        <rFont val="Arial Narrow"/>
        <family val="2"/>
      </rPr>
      <t xml:space="preserve"> of the ground. Soil is mineral or decomposed organic (muck). Choose between B1 and B2 and mark the choice with a 1 in their adjoining column:</t>
    </r>
  </si>
  <si>
    <r>
      <rPr>
        <b/>
        <sz val="10"/>
        <rFont val="Arial Narrow"/>
        <family val="2"/>
      </rPr>
      <t xml:space="preserve">Note that this question asks you to answer the question using the coding system, differentiating from the usually binary system. 
</t>
    </r>
    <r>
      <rPr>
        <sz val="10"/>
        <rFont val="Arial Narrow"/>
        <family val="2"/>
      </rPr>
      <t xml:space="preserve">
Do not count trees or shrubs if they merely hang into the wetland. They must be rooted in soils that are saturated for several weeks of the growing season. The "vegetated part" should not include floating-leaved or submersed aquatics. [NR, PH, SBM WB, WS]</t>
    </r>
  </si>
  <si>
    <t>coniferous or ericaceous shrubs or trees 1-3 m tall not directly below the canopy of trees.</t>
  </si>
  <si>
    <t>coniferous or ericaceous shrubs or trees &lt;1 m tall not directly below the canopy of taller vegetation.</t>
  </si>
  <si>
    <t>If large-diameter trees overhang (shade) small-diameter ones, visualise a "subcanopy" at the average height of the smaller-dbh trees, to serve as a basis for the minimum 5% canopy requirement in this question. The trees and shrubs need not be wetland species. Diameters are the d.b.h., the diameter of the tree measured at 4.5 ft above the ground. [AM, PH, SBM, WB]</t>
  </si>
  <si>
    <t>Thatch is dead plant material (stems, leaves) resting on the ground surface.  Bare ground that is present under a tree or shrub canopy should be counted. Wetlands with mineral soils and that are heavily shaded or are dominated by annual plant species tend to have more extensive areas that are bare during the early growing season. [NR, OE, PR, SR]</t>
  </si>
  <si>
    <t xml:space="preserve">Few or none (minimal microtopography; &lt;1% of the land has such features, or entire site is always water-covered). </t>
  </si>
  <si>
    <t>[POL, WB]</t>
  </si>
  <si>
    <r>
      <rPr>
        <b/>
        <sz val="10"/>
        <rFont val="Arial Narrow"/>
        <family val="2"/>
      </rPr>
      <t>Forbs</t>
    </r>
    <r>
      <rPr>
        <sz val="10"/>
        <rFont val="Arial Narrow"/>
        <family val="2"/>
      </rPr>
      <t xml:space="preserve"> do </t>
    </r>
    <r>
      <rPr>
        <b/>
        <sz val="10"/>
        <rFont val="Arial Narrow"/>
        <family val="2"/>
      </rPr>
      <t>not</t>
    </r>
    <r>
      <rPr>
        <sz val="10"/>
        <rFont val="Arial Narrow"/>
        <family val="2"/>
      </rPr>
      <t xml:space="preserve"> include grasses, sedges, cattail, or other graminoids.  Although technically a forb, include horsetail (Equisetum) as a graminoid, not a forb. Do not include non-wetland forb species, or floating-leaved aquatic plants. Areal cover (percentage of an area) is not the same as aerial cover (viewed from the air).  [POL]</t>
    </r>
  </si>
  <si>
    <t xml:space="preserve">This is the cumulative area of the AA lacking surface water. [AM, FH, INV, NR, PH, PR, SBM, WB, WC] </t>
  </si>
  <si>
    <t>This is the cumulative area that has surface water. If you are unable to determine the condition at the driest time of year, asking the land owner or neighbors about it will be particularly important. Indicators of persistence may include fish, some dragonfly species, beaver, and muskrat. [FH, INV, NR, PH, PR, SBM, WB]</t>
  </si>
  <si>
    <t>Open water that adjoins the vegetated wetland in a lake, stream, or river during annual low water condition is much wider than the vegetated wetland. Enter "1" if true, "0" if false.</t>
  </si>
  <si>
    <t>This describes the spatial median depth that occurs during most of that time, even if inundation is only seasonal or temporary. If inundation in most but not all of the wetland is brief, the answer will be based on the depth of the most persistently inundated part of the wetland. [ FH, INV, PH, PR, SFS, SR, WC]</t>
  </si>
  <si>
    <t>Nearly all wetlands with surface water have some ponded water. [AM, FH, NR, OE, SR, WB, WC, WS]</t>
  </si>
  <si>
    <t>"Vegetated area" does not include submersed or floating-leaved plants, i.e., aquatic bed. Width may include wooded riparian areas if they have wetland soil or plant indicators. For most sites larger than 10 hectares and with persistent water, measure the width using aerial imagery rather than estimate in the field. Free apps are available for estimating distance through the camera lens of most smartphones. [AM, NR, OE, PH, PR, SBM, SR, WB, WS]</t>
  </si>
  <si>
    <t>The Total Dissolved Solids (TDS) and/or Conductivity in most of the AA's surface water:</t>
  </si>
  <si>
    <t>A channel is an observably incised landform that transports surface water in a downhill direction during some part of a normal year. A larger difference in elevation between the wetland-upland edge and the bottom of the wetland outlet (if any) indicates shorter outflow duration. The frequencies given are only approximate and are for a "normal" year. The connection need not occur during the growing season. [ FH, NR, OE, PR, SFS, SR, WC, WS]</t>
  </si>
  <si>
    <t>Along the wetland-upland edge, the percent of the upland edge (within 3 m of wetland) that is occupied by plant species that are considered invasive (see above) is:</t>
  </si>
  <si>
    <t>is exported more quickly than usual due to ditches or pipes within the AA (or connected to its outlet or within 10 m of the AA's edge) which drain the wetland artificially, or water is pumped out of the AA.</t>
  </si>
  <si>
    <t>Adhere to these criteria strictly -- do not use personal judgment based on fen conditions or other evidence.  Consult topographic maps to detect breaks in slope described here. [AM, FH, INV, NR, PH, SFS, WC, WS]</t>
  </si>
  <si>
    <t xml:space="preserve">If surface water is present, its pH (Q44) is &gt;5.5 AND one or more of the following are true: (a) the AA is located very close to the base of (but mostly not ON) a natural slope much steeper (usually &gt;15%) than that within the AA and longer than 100 m, OR
(b) rust deposits ("iron floc"), colored precipitates, or dispersible natural oil sheen are prevalent in the AA, OR
(c) AA is located at a geologic fault.
</t>
  </si>
  <si>
    <r>
      <rPr>
        <b/>
        <sz val="10"/>
        <rFont val="Arial Narrow"/>
        <family val="2"/>
      </rPr>
      <t>Perennial vegetatio</t>
    </r>
    <r>
      <rPr>
        <sz val="10"/>
        <rFont val="Arial Narrow"/>
        <family val="2"/>
      </rPr>
      <t>n is vegetation that persists from year to year, e.g., not crops that are completely harvested at some point each year.  It may or may not include invasive.species. [AM, INV, PH, SBM, WB]</t>
    </r>
  </si>
  <si>
    <t>Within the 30 m zone described above, the area that is NOT perennial vegetation or water is mostly (mark ONE):</t>
  </si>
  <si>
    <t>New or Expanded Wetland</t>
  </si>
  <si>
    <t>yes, and created or expanded 20 - 100 years ago .</t>
  </si>
  <si>
    <t>yes, and created or expanded 3-20 years ago.</t>
  </si>
  <si>
    <t>yes, and created or expanded within last 3 years.</t>
  </si>
  <si>
    <t>unknown if new or expanded within 20 years or not.</t>
  </si>
  <si>
    <r>
      <t xml:space="preserve">Publicly owned </t>
    </r>
    <r>
      <rPr>
        <b/>
        <sz val="10"/>
        <rFont val="Arial Narrow"/>
        <family val="2"/>
      </rPr>
      <t>resource use</t>
    </r>
    <r>
      <rPr>
        <sz val="10"/>
        <rFont val="Arial Narrow"/>
        <family val="2"/>
      </rPr>
      <t xml:space="preserve"> lands (allowed activities such as timber harvest, mining, or intensive recreation), or unknown.  Includes most Crown Reservations/Notations.</t>
    </r>
  </si>
  <si>
    <r>
      <t>Publicly owned</t>
    </r>
    <r>
      <rPr>
        <b/>
        <sz val="10"/>
        <rFont val="Arial Narrow"/>
        <family val="2"/>
      </rPr>
      <t xml:space="preserve"> conservation</t>
    </r>
    <r>
      <rPr>
        <sz val="10"/>
        <rFont val="Arial Narrow"/>
        <family val="2"/>
      </rPr>
      <t xml:space="preserve"> lands that exclude new timber harvest, roads, mineral extraction, and intensive summer recreation (e.g., off-road vehicles).  Includes most Protected Lands.</t>
    </r>
  </si>
  <si>
    <t>The percentage of the AA almost never visited by humans during an average growing season probably comprises: [Note: Only include the part actually walked or driven (not simply viewed from) with a vehicle or boat. Do not include visitors on trails outside of the AA unless more than half the wetland is visible from the trails and they are within 30 m of the wetland edge. In that case include only the area occupied by the trail]</t>
  </si>
  <si>
    <t>Include visits by foot, canoe, kayak, or ATV. Judge this based on proximity to population centers, roads, trails, accessibility of the wetland to the public, wetland size, usual water depth, other physical hindrances, and physical evidence of human visitation. Exclude visits that are not likely to continue and/or that are not an annual occurrence, e.g., by construction or monitoring crews. [AM, PH, HU, SBM,  WB]</t>
  </si>
  <si>
    <t>50-95%, with or without inhabited building nearby.</t>
  </si>
  <si>
    <t>&gt;95% of the AA with or without inhabited building nearby.</t>
  </si>
  <si>
    <t>Regulatory Investment: The AA is all or part of a mitigation or replacement site used explicitly to offset impacts elsewhere.</t>
  </si>
  <si>
    <t>none of the upland edge (invasives apparently absent).</t>
  </si>
  <si>
    <t>The percent of the AA's vegetated cover that is nitrogen-fixing plants (e.g., alder, baltic (wire) rush, sweetgale, lupine, clover, other legumes) is:</t>
  </si>
  <si>
    <r>
      <rPr>
        <b/>
        <sz val="10"/>
        <rFont val="Arial Narrow"/>
        <family val="2"/>
      </rPr>
      <t xml:space="preserve">B. </t>
    </r>
    <r>
      <rPr>
        <sz val="10"/>
        <rFont val="Arial Narrow"/>
        <family val="2"/>
      </rPr>
      <t xml:space="preserve">Either the vegetation taller than 1m or the vegetation shorter than 1m </t>
    </r>
    <r>
      <rPr>
        <b/>
        <sz val="10"/>
        <rFont val="Arial Narrow"/>
        <family val="2"/>
      </rPr>
      <t>comprise &gt;70%</t>
    </r>
    <r>
      <rPr>
        <sz val="10"/>
        <rFont val="Arial Narrow"/>
        <family val="2"/>
      </rPr>
      <t xml:space="preserve"> of the vegetated part of the AA.  One size class might even be totally absent.  Choose between B1 and B2 and mark the choice with a 1 in the adjoining column:</t>
    </r>
  </si>
  <si>
    <r>
      <t xml:space="preserve">   A1.</t>
    </r>
    <r>
      <rPr>
        <sz val="10"/>
        <rFont val="Arial Narrow"/>
        <family val="2"/>
      </rPr>
      <t xml:space="preserve"> The two height classes are mostly scattered and intermixed throughout the AA.</t>
    </r>
  </si>
  <si>
    <r>
      <t xml:space="preserve">   B1.</t>
    </r>
    <r>
      <rPr>
        <sz val="10"/>
        <rFont val="Arial Narrow"/>
        <family val="2"/>
      </rPr>
      <t xml:space="preserve"> The less prevalent height class is mostly scattered and intermixed within the prevalent one.</t>
    </r>
  </si>
  <si>
    <r>
      <t xml:space="preserve">   B2.</t>
    </r>
    <r>
      <rPr>
        <sz val="10"/>
        <rFont val="Arial Narrow"/>
        <family val="2"/>
      </rPr>
      <t xml:space="preserve"> Not B1.  The less prevalent height class is mostly located apart from the prevalent one, in separate zones or clumps, or is completely absent</t>
    </r>
  </si>
  <si>
    <r>
      <rPr>
        <b/>
        <sz val="10"/>
        <rFont val="Arial Narrow"/>
        <family val="2"/>
      </rPr>
      <t>A.</t>
    </r>
    <r>
      <rPr>
        <sz val="10"/>
        <rFont val="Arial Narrow"/>
        <family val="2"/>
      </rPr>
      <t xml:space="preserve"> Neither the vegetation taller than 1m nor the vegetation shorter than that comprise &gt;70% of the vegetated part of the AA. </t>
    </r>
    <r>
      <rPr>
        <b/>
        <sz val="10"/>
        <rFont val="Arial Narrow"/>
        <family val="2"/>
      </rPr>
      <t>They each comprise 30-70%</t>
    </r>
    <r>
      <rPr>
        <sz val="10"/>
        <rFont val="Arial Narrow"/>
        <family val="2"/>
      </rPr>
      <t>.  If false, go to B below.  Otherwise choose between A1 and A2 and mark the choice with a 1 in the adjoining column:</t>
    </r>
  </si>
  <si>
    <r>
      <rPr>
        <b/>
        <sz val="10"/>
        <rFont val="Arial Narrow"/>
        <family val="2"/>
      </rPr>
      <t>A.</t>
    </r>
    <r>
      <rPr>
        <sz val="10"/>
        <rFont val="Times New Roman"/>
        <family val="1"/>
      </rPr>
      <t xml:space="preserve"> </t>
    </r>
    <r>
      <rPr>
        <sz val="10"/>
        <rFont val="Arial Narrow"/>
        <family val="2"/>
      </rPr>
      <t xml:space="preserve">Moss and/or lichen cover </t>
    </r>
    <r>
      <rPr>
        <b/>
        <sz val="10"/>
        <rFont val="Arial Narrow"/>
        <family val="2"/>
      </rPr>
      <t>more than 25%</t>
    </r>
    <r>
      <rPr>
        <sz val="10"/>
        <rFont val="Arial Narrow"/>
        <family val="2"/>
      </rPr>
      <t xml:space="preserve"> of the ground. Substrate is mostly undecomposed peat. Choose between A1 and A2 and mark the choice with a 1 in their adjoining column. Otherwise go to B below.</t>
    </r>
  </si>
  <si>
    <r>
      <t xml:space="preserve">   B1.</t>
    </r>
    <r>
      <rPr>
        <sz val="10"/>
        <rFont val="Arial Narrow"/>
        <family val="2"/>
      </rPr>
      <t xml:space="preserve"> Trees and shrubs taller than 1 m comprise </t>
    </r>
    <r>
      <rPr>
        <b/>
        <sz val="10"/>
        <rFont val="Arial Narrow"/>
        <family val="2"/>
      </rPr>
      <t>more than</t>
    </r>
    <r>
      <rPr>
        <sz val="10"/>
        <rFont val="Arial Narrow"/>
        <family val="2"/>
      </rPr>
      <t xml:space="preserve"> 25% of the vegetated cover. Surface water is mostly absent or inundates the vegetation only seasonally (e.g., snowmelt pools or floodplain).  Often in riparian settings, abandoned beaver flowages.</t>
    </r>
  </si>
  <si>
    <t xml:space="preserve">Includes species at risk or that may be at risk. Species status can be searched for in your area using ACIMS (Alberta Conservation Information Management System) for plants, FWMIS (Fish and Wildlife Management Information System) for wildlife, or using the general status search on the Fish and Wildlife website for the Province.
[FR, AM, WB, SBM, PH]
</t>
  </si>
  <si>
    <r>
      <t xml:space="preserve">Does the AA comprise an entire wetland that is smaller than 0.01 hectare? </t>
    </r>
    <r>
      <rPr>
        <sz val="12"/>
        <rFont val="Arial Narrow"/>
        <family val="2"/>
      </rPr>
      <t xml:space="preserve"> If so, enter "1" in column D and </t>
    </r>
    <r>
      <rPr>
        <b/>
        <sz val="12"/>
        <rFont val="Arial Narrow"/>
        <family val="2"/>
      </rPr>
      <t>SKIP TO F45</t>
    </r>
    <r>
      <rPr>
        <sz val="12"/>
        <rFont val="Arial Narrow"/>
        <family val="2"/>
      </rPr>
      <t xml:space="preserve"> (Beaver).</t>
    </r>
  </si>
  <si>
    <t>AVERAGE(Constric6, OutDura6, RipFloodpl, WoodType6)</t>
  </si>
  <si>
    <t>Data Form F.  ABWRET-A. version 1.0 for the Boreal and Foothills Natural Regions of Alberta</t>
  </si>
  <si>
    <t>Data Form S (Stressors).  ABWRET-A version 1.0 for the Boreal and Foothills Natural Regions of Alberta</t>
  </si>
  <si>
    <t>In aerial ("ducks eye") view, the maximum annual cover of herbaceous vegetation (excluding moss) that is not under shrubs or trees is:</t>
  </si>
  <si>
    <r>
      <t xml:space="preserve">&lt;5% of the vegetated part of the AA or &lt;0.01 hectare (whichever is less).  Mark "1" here and </t>
    </r>
    <r>
      <rPr>
        <b/>
        <sz val="11"/>
        <rFont val="Arial Narrow"/>
        <family val="2"/>
      </rPr>
      <t>SKIP to F20</t>
    </r>
    <r>
      <rPr>
        <b/>
        <sz val="10"/>
        <rFont val="Arial Narrow"/>
        <family val="2"/>
      </rPr>
      <t xml:space="preserve"> </t>
    </r>
    <r>
      <rPr>
        <sz val="10"/>
        <rFont val="Arial Narrow"/>
        <family val="2"/>
      </rPr>
      <t>(Invasive Plant Cover).</t>
    </r>
  </si>
  <si>
    <r>
      <t xml:space="preserve">&gt;95% of the vegetated AA. </t>
    </r>
    <r>
      <rPr>
        <b/>
        <sz val="11"/>
        <rFont val="Arial Narrow"/>
        <family val="2"/>
      </rPr>
      <t xml:space="preserve">SKIP to F20 </t>
    </r>
    <r>
      <rPr>
        <sz val="10"/>
        <rFont val="Arial Narrow"/>
        <family val="2"/>
      </rPr>
      <t>(Invasive Plant Cover).</t>
    </r>
  </si>
  <si>
    <r>
      <t>&gt;99% of the AA never contains surface water, except perhaps for water flowing in channels and/or in pools that occupy &lt;1% of the AA.</t>
    </r>
    <r>
      <rPr>
        <sz val="11"/>
        <rFont val="Arial Narrow"/>
        <family val="2"/>
      </rPr>
      <t xml:space="preserve"> </t>
    </r>
    <r>
      <rPr>
        <b/>
        <sz val="11"/>
        <rFont val="Arial Narrow"/>
        <family val="2"/>
      </rPr>
      <t>SKIP to F48</t>
    </r>
    <r>
      <rPr>
        <sz val="10"/>
        <rFont val="Arial Narrow"/>
        <family val="2"/>
      </rPr>
      <t xml:space="preserve"> (Channel Connection &amp; Outflow Duration).</t>
    </r>
  </si>
  <si>
    <r>
      <t xml:space="preserve">&lt;0.01 hectare and &lt;1% of the AA.  </t>
    </r>
    <r>
      <rPr>
        <b/>
        <sz val="11"/>
        <rFont val="Arial Narrow"/>
        <family val="2"/>
      </rPr>
      <t>SKIP to F27</t>
    </r>
    <r>
      <rPr>
        <sz val="10"/>
        <rFont val="Arial Narrow"/>
        <family val="2"/>
      </rPr>
      <t xml:space="preserve"> (% Flooded Only Seasonally).</t>
    </r>
  </si>
  <si>
    <r>
      <t xml:space="preserve">None, or &lt;0.01 hectare and &lt;1% of the AA. Nearly all water is flowing.  Enter "1" and </t>
    </r>
    <r>
      <rPr>
        <b/>
        <sz val="11"/>
        <rFont val="Arial Narrow"/>
        <family val="2"/>
      </rPr>
      <t>SKIP to F43</t>
    </r>
    <r>
      <rPr>
        <b/>
        <sz val="10"/>
        <rFont val="Arial Narrow"/>
        <family val="2"/>
      </rPr>
      <t xml:space="preserve"> </t>
    </r>
    <r>
      <rPr>
        <sz val="10"/>
        <rFont val="Arial Narrow"/>
        <family val="2"/>
      </rPr>
      <t>(pH measurement).</t>
    </r>
  </si>
  <si>
    <r>
      <t>None, or &lt;1% of the AA and largest pool occupies &lt;0.01 hectares.  Enter "1" and</t>
    </r>
    <r>
      <rPr>
        <sz val="11"/>
        <rFont val="Arial Narrow"/>
        <family val="2"/>
      </rPr>
      <t xml:space="preserve"> </t>
    </r>
    <r>
      <rPr>
        <b/>
        <sz val="11"/>
        <rFont val="Arial Narrow"/>
        <family val="2"/>
      </rPr>
      <t>SKIP to F41</t>
    </r>
    <r>
      <rPr>
        <b/>
        <sz val="10"/>
        <rFont val="Arial Narrow"/>
        <family val="2"/>
      </rPr>
      <t xml:space="preserve"> </t>
    </r>
    <r>
      <rPr>
        <sz val="10"/>
        <rFont val="Arial Narrow"/>
        <family val="2"/>
      </rPr>
      <t>(Floating Algae &amp; Duckweed).</t>
    </r>
  </si>
  <si>
    <r>
      <t xml:space="preserve">1-5% of the ponded water.  Enter "1" and </t>
    </r>
    <r>
      <rPr>
        <b/>
        <sz val="11"/>
        <rFont val="Arial Narrow"/>
        <family val="2"/>
      </rPr>
      <t>SKIP to F41</t>
    </r>
    <r>
      <rPr>
        <b/>
        <sz val="10"/>
        <rFont val="Arial Narrow"/>
        <family val="2"/>
      </rPr>
      <t>.</t>
    </r>
  </si>
  <si>
    <r>
      <t xml:space="preserve">None, or &lt;0.01 hectare and &lt;1% of the AA. </t>
    </r>
    <r>
      <rPr>
        <sz val="11"/>
        <rFont val="Arial Narrow"/>
        <family val="2"/>
      </rPr>
      <t xml:space="preserve"> </t>
    </r>
    <r>
      <rPr>
        <b/>
        <sz val="11"/>
        <rFont val="Arial Narrow"/>
        <family val="2"/>
      </rPr>
      <t>SKIP to F38</t>
    </r>
    <r>
      <rPr>
        <b/>
        <sz val="10"/>
        <rFont val="Arial Narrow"/>
        <family val="2"/>
      </rPr>
      <t xml:space="preserve"> </t>
    </r>
    <r>
      <rPr>
        <sz val="10"/>
        <rFont val="Arial Narrow"/>
        <family val="2"/>
      </rPr>
      <t>(Open Water - Minimum Depth)</t>
    </r>
    <r>
      <rPr>
        <b/>
        <sz val="10"/>
        <rFont val="Arial Narrow"/>
        <family val="2"/>
      </rPr>
      <t>.</t>
    </r>
  </si>
  <si>
    <r>
      <t xml:space="preserve">none -- but maps show a stream or other water body that is downslope from the AA and within a distance that is less than the AA's length.  If so, mark "1" here and </t>
    </r>
    <r>
      <rPr>
        <b/>
        <sz val="11"/>
        <rFont val="Arial Narrow"/>
        <family val="2"/>
      </rPr>
      <t>SKIP TO F50</t>
    </r>
    <r>
      <rPr>
        <b/>
        <sz val="10"/>
        <rFont val="Arial Narrow"/>
        <family val="2"/>
      </rPr>
      <t xml:space="preserve"> </t>
    </r>
    <r>
      <rPr>
        <sz val="10"/>
        <rFont val="Arial Narrow"/>
        <family val="2"/>
      </rPr>
      <t xml:space="preserve">(Groundwater). </t>
    </r>
  </si>
  <si>
    <r>
      <t xml:space="preserve">no surface water flows out of the wetland except possibly during extreme events (&lt;once per 10 years). Or, water flows only into a wetland, ditch, or lake that lacks an outlet.  If so, mark "1" here and </t>
    </r>
    <r>
      <rPr>
        <b/>
        <sz val="11"/>
        <rFont val="Arial Narrow"/>
        <family val="2"/>
      </rPr>
      <t>SKIP TO F50</t>
    </r>
    <r>
      <rPr>
        <b/>
        <sz val="10"/>
        <rFont val="Arial Narrow"/>
        <family val="2"/>
      </rPr>
      <t xml:space="preserve"> </t>
    </r>
    <r>
      <rPr>
        <sz val="10"/>
        <rFont val="Arial Narrow"/>
        <family val="2"/>
      </rPr>
      <t xml:space="preserve">(Groundwater). </t>
    </r>
  </si>
  <si>
    <r>
      <t xml:space="preserve">&gt;90%, or the AA does not adjoin any upland </t>
    </r>
    <r>
      <rPr>
        <sz val="11"/>
        <rFont val="Arial Narrow"/>
        <family val="2"/>
      </rPr>
      <t xml:space="preserve"> </t>
    </r>
    <r>
      <rPr>
        <b/>
        <sz val="11"/>
        <rFont val="Arial Narrow"/>
        <family val="2"/>
      </rPr>
      <t>SKIP to F54</t>
    </r>
    <r>
      <rPr>
        <b/>
        <sz val="10"/>
        <rFont val="Arial Narrow"/>
        <family val="2"/>
      </rPr>
      <t xml:space="preserve"> </t>
    </r>
    <r>
      <rPr>
        <sz val="10"/>
        <rFont val="Arial Narrow"/>
        <family val="2"/>
      </rPr>
      <t>(Cliffs).</t>
    </r>
  </si>
  <si>
    <r>
      <t xml:space="preserve">&lt;5%.  If F62 was answered "&gt;95%", </t>
    </r>
    <r>
      <rPr>
        <b/>
        <sz val="11"/>
        <rFont val="Arial Narrow"/>
        <family val="2"/>
      </rPr>
      <t xml:space="preserve">SKIP to F64 </t>
    </r>
    <r>
      <rPr>
        <sz val="10"/>
        <rFont val="Arial Narrow"/>
        <family val="2"/>
      </rPr>
      <t>(Consumptive Uses).</t>
    </r>
  </si>
  <si>
    <t>Listing the species you find is encouraged but optional. [ PH, POL]</t>
  </si>
  <si>
    <t>If the AA has no upland edge, or upland edge is &lt;10% of AA's perimeter, then answer for the portion of the upland closest to the wetland.  Listing the species you find is encouraged but optional.   [PH]</t>
  </si>
  <si>
    <r>
      <t xml:space="preserve">   A2. </t>
    </r>
    <r>
      <rPr>
        <sz val="10"/>
        <rFont val="Arial Narrow"/>
        <family val="2"/>
      </rPr>
      <t>Not A1.  The two height classes are mostly in separate zones or bands, or in proportionately large clumps.</t>
    </r>
  </si>
  <si>
    <t xml:space="preserve"> [FH, INV, NR, OE, PH, SBM, SFS, WB, WC]. 
</t>
  </si>
  <si>
    <t>&lt;1%, or catchment size unknown due to stormwater pipes that collect water from an indeterminate area.</t>
  </si>
  <si>
    <t>1-10%</t>
  </si>
  <si>
    <t>10-100%</t>
  </si>
  <si>
    <t xml:space="preserve">&gt;100% (wetland is larger than its catchment (e.g., wetland is isolated by dikes with no input channels, is fed entirely by groundwater, or is a raised bog). </t>
  </si>
  <si>
    <t>Wetlands in headwater positions have generally smaller catchments and thus are likely to have more capacity to store water than wetlands of equal size located at lower elevations in the catchment.</t>
  </si>
  <si>
    <t>Open water may have floating aquatic vegetation provided it does not usually extend above the water surface. [AM, FH, HU, INV, NR, OE, PH, PR, SBM, SFS, SR, WB, WC, WS]</t>
  </si>
  <si>
    <t>OpenPonded2a</t>
  </si>
  <si>
    <t>AVERAGE(WetArea, SeasPct1, AVERAGE(WetPctCA1, ElevPctileHUC8),Fluctua1)</t>
  </si>
  <si>
    <t>[AVERAGE(1-GWDspring, Type1, Groundw1) + AVERAGE(1-Sub0Days, SoilTex1) + AVERAGE(1-PPET, WindSumm, WetPerim2Area, OpenPct1) + AVERAGE(WetVegArea, Burn1, AllWoody1)] / 4</t>
  </si>
  <si>
    <t>Springs and groundwater discharge areas often occur in wetlands and help sustain low flow in streams.</t>
  </si>
  <si>
    <t>Gracz, M.B., M.F., Moffett, D.I. Siegel, and P.H. Glaser. 2015. Analyzing peatland discharge to streams in an Alaskan watershed: An integration of end-member mixing analysis and a water balance approach. Journal of Hydrology 530:667-676.</t>
  </si>
  <si>
    <r>
      <t xml:space="preserve">IF((OutNone + OutNone1&gt;0),0, </t>
    </r>
    <r>
      <rPr>
        <b/>
        <sz val="10"/>
        <rFont val="Arial Narrow"/>
        <family val="2"/>
      </rPr>
      <t>ELSE</t>
    </r>
    <r>
      <rPr>
        <sz val="10"/>
        <rFont val="Arial Narrow"/>
        <family val="2"/>
      </rPr>
      <t>: 10*AVERAGE(SHADE,  GWin, OUT)</t>
    </r>
  </si>
  <si>
    <t>Wetlands located relatively high in local catchments are more capable of influencing water temperature in streams located in headwaters because their contribution of water to the stream is often proportionately greater that is the case in lowlands where river flow often overwhelms the contribution of wetlands.</t>
  </si>
  <si>
    <t>Discharging groundwater in most cases is cooler than receiving surface waters, and fens are groundwater discharge areas. The weights assigned to the wetland types reflect the likelihood of there being discharging groundwater, which is usually cooler than surface water so helps maintain or reduce surface water temperature.</t>
  </si>
  <si>
    <r>
      <t xml:space="preserve">Shade from vegetation and other features is an important factor in cooling surface water and runoff before it reaches water bodies farther downstream (e.g., Rounds 2007).   Vegetation removal by cut lines, power lines, roads, or clear cuts, especially when accompanied by soil compaction, can increase temperature of soil and associated water (Hayhoe &amp; Tarnokai 1993).  A study of many Seattle-area wetlands found that summertime temperatures ranged higher in wetlands that were characterized by relatively large open pools that lacked shade (Reinelt &amp; Horner 1990). </t>
    </r>
    <r>
      <rPr>
        <i/>
        <sz val="10"/>
        <rFont val="Arial Narrow"/>
        <family val="2"/>
      </rPr>
      <t>In calculations, is excluded automatically (cell goes blank) if wetland never has surface water during an average year or if water is present only seasonally.</t>
    </r>
  </si>
  <si>
    <t>[ AVERAGE(OpenWpct3, Interspers3, WetVegArea) + AVERAGE(1-Sub0Days, Persis3, Lake3, VegWabs3, ThruFlo3, Constric3, Gradient3, Gcover3, Girreg3, SoilAlt3) + WetPctCA3 ] / 3</t>
  </si>
  <si>
    <t>AVERAGE(1-Sub0Days, GrowDD, 1-Aspect, HerbWoodMix4,Gcover4)</t>
  </si>
  <si>
    <t>AVERAGE(SoilTex4, SoilDisturb4, OWpct4, Wettype4, WoodyPct4, NewWet)</t>
  </si>
  <si>
    <r>
      <t xml:space="preserve">see above.  </t>
    </r>
    <r>
      <rPr>
        <i/>
        <sz val="10"/>
        <rFont val="Arial Narrow"/>
        <family val="2"/>
        <scheme val="minor"/>
      </rPr>
      <t>The score is the number of other types divided by 3 (the maximum potential number of types).</t>
    </r>
  </si>
  <si>
    <r>
      <t xml:space="preserve">On a per-surface-area basis, deciduous trees and shrubs often support higher levels of insect biomass than conifers, at least among nocturnal flying insects (Ober and Hayes 2008). </t>
    </r>
    <r>
      <rPr>
        <i/>
        <sz val="10"/>
        <rFont val="Arial Narrow"/>
        <family val="2"/>
        <scheme val="minor"/>
      </rPr>
      <t xml:space="preserve"> In calculations, shorter woody vegetation is also assumed to provide less habitat structure for invertebrates than tall woody vegetation.</t>
    </r>
  </si>
  <si>
    <r>
      <t xml:space="preserve">Dynamic water levels in wetlands with outlets usually imply more productive wetlands (Nicholson 1995). However, if water level fluctuations are too severe (e.g., greater than plant height) production of organic matter can diminish. Also, more stable water levels in wetlands may benefit aquatic invertebrates in regions where many streams are prone to sudden fluctuations from melting snow and storms. </t>
    </r>
    <r>
      <rPr>
        <i/>
        <sz val="10"/>
        <rFont val="Arial Narrow"/>
        <family val="2"/>
        <scheme val="minor"/>
      </rPr>
      <t>In calculations, is excluded automatically (cell goes blank) if wetland never has surface water during an average year, or if none of it floods only seasonally.</t>
    </r>
  </si>
  <si>
    <r>
      <t>Up to perhaps 500 ppm TDS (conductivity of ~800 uS/cm), wetlands with higher conductivity (moderate salinity) support greater abundance and sometimes greater diversity of aquatic invertebrates. This may be due partly to their having greater concentrations of dissolved organic matter (Curtis &amp; Adams 1995).  However, one study found that when TDS increased from 270 to 1170 ppm, both coontail (</t>
    </r>
    <r>
      <rPr>
        <i/>
        <sz val="10"/>
        <rFont val="Arial Narrow"/>
        <family val="2"/>
        <scheme val="minor"/>
      </rPr>
      <t>Ceratophyllus demersum</t>
    </r>
    <r>
      <rPr>
        <sz val="10"/>
        <rFont val="Arial Narrow"/>
        <family val="2"/>
        <scheme val="minor"/>
      </rPr>
      <t xml:space="preserve">) and cattails nearly disappeared and other substantial changes occurred in wetland plant communities that support aquatic invertebrates (Hallock and Hallock 1992). Productivity of many freshwater algae declines when TDS exceeds about 1400 ppm (Kerekes and Nursall 1966).  Effects depend on the specific ions that contribute to TDS.  </t>
    </r>
    <r>
      <rPr>
        <i/>
        <sz val="10"/>
        <rFont val="Arial Narrow"/>
        <family val="2"/>
        <scheme val="minor"/>
      </rPr>
      <t>In calculations, the score increases proportionately from 13 to 500 ppm TDS (or conductivity of 20 to 800 uS/cm), but if higher or lower than that range, the score is set at 0.</t>
    </r>
    <r>
      <rPr>
        <sz val="10"/>
        <rFont val="Arial Narrow"/>
        <family val="2"/>
        <scheme val="minor"/>
      </rPr>
      <t xml:space="preserve">
.</t>
    </r>
  </si>
  <si>
    <t xml:space="preserve">Life histories of most invertebrates are closely linked to specific thermal and light (seasonality) conditions as those interact with specific hydrologic patterns. Abnormal patterns of inundation to which invertebrate communities are not adapted may reduce populations of many intolerant invertebrate species, thus diminishing local biodiversity. </t>
  </si>
  <si>
    <t>AVERAGE(Girreg8, Groundw8, GWDspring, SatPct8, PermWpct8, SeasPct8, Beaver8)</t>
  </si>
  <si>
    <t>If a wetland contains marsh and/or shallow water but those types (which may be the most important class for invertebrates) are scarce in the surrounding area, the contribution to local biodiversity of marsh-associated invertebrate species is likely to be greater.</t>
  </si>
  <si>
    <t>Upland vegetation provides emergence sites and nutrients for aquatic invertebrates, so a high ratio of upland perimeter to wetland area is beneficial.</t>
  </si>
  <si>
    <t>Vegetation structure provides vertical and horizontal complexity which increases the number of ecological niches and thus supports greater wetland invertebrate diversity.</t>
  </si>
  <si>
    <t>CUbuffPctNat8</t>
  </si>
  <si>
    <t>Most springs and other groundwater discharge areas help sustain low flows and maintain stream temperatures important to fish.</t>
  </si>
  <si>
    <r>
      <t xml:space="preserve">IF((AllSat1&gt;0),[blank],IF((SmallAA=1), [blank], </t>
    </r>
    <r>
      <rPr>
        <b/>
        <sz val="10"/>
        <rFont val="Arial Narrow"/>
        <family val="2"/>
      </rPr>
      <t>ELSE</t>
    </r>
    <r>
      <rPr>
        <sz val="10"/>
        <rFont val="Arial Narrow"/>
        <family val="2"/>
      </rPr>
      <t>: AVERAGE(Interspers10, ThruFlo10, Depth10, DepthEven10, Shade10, WoodAbove10)</t>
    </r>
  </si>
  <si>
    <t>The weights for the importance of the various classes to amphibians are from an in-depth, species-by-species database analysis performed by Ducks Unlimited, Canada using the Alberta Wetland Classification.</t>
  </si>
  <si>
    <t xml:space="preserve">AVERAGE(GrowDD, GWDspring, GroundW11, Beaver11, Salin11, Gradient11, SatPct11, Fluctu11)  </t>
  </si>
  <si>
    <t>If a wetland contains marsh or open water but those classes (which are most important to waterbirds) are scarce in the surrounding area, the contribution of waterbird species (that associate with those classes) to local biodiversity is likely to be greater.</t>
  </si>
  <si>
    <t>AEP known or projected distribution of this species.</t>
  </si>
  <si>
    <r>
      <t xml:space="preserve">The number of bird and mammal species using a wetland is greater if more wetland types are present within the wetland. </t>
    </r>
    <r>
      <rPr>
        <i/>
        <sz val="10"/>
        <rFont val="Arial Narrow"/>
        <family val="2"/>
        <scheme val="minor"/>
      </rPr>
      <t>The score is the number of other types divided by 3 (the maximum possible number of types).</t>
    </r>
  </si>
  <si>
    <t>Awade, M. and J. P. Metzger. 2008. Using gap-crossing capacity to evaluate functional connectivity of two Atlantic Rainforest birds and their response to fragmentation. Austral Ecology 33:863 - 871.</t>
  </si>
  <si>
    <t>AVERAGE(Dist2DevCrop,1-RdDens1k, Dist2Rd, DistPop, 1-Linear, Dist2Industrial, Core14a, Core14b, BMP_14, ToxSource14)</t>
  </si>
  <si>
    <t>Dist2Industrial</t>
  </si>
  <si>
    <t>Distance to Industrial</t>
  </si>
  <si>
    <t>Noise and traffic associated with well rigs and industrial facilities is detrimental to some sensitive wildlife species.</t>
  </si>
  <si>
    <t>Many species (most notably caribou) are highly sensitve to habitat fragmentation. For example, American marten avoid open and wide seismic lines, but not narrow and recovered lines. Occupancy of forest habitat at the home range scale also declines with increasing seismic line density (Tigner 2010). Seismic lines with vegetation heights less than 1.4 metres also facilitate movement by caribou predators.This index gave more weight to linear clearings that are more permanent landscape features (paved roads) than to revegetating cutlines and similar.</t>
  </si>
  <si>
    <r>
      <t xml:space="preserve">Plant species richness within a wetland can be expected to correlate strongly with the number of wetland classes that are present because different plant species have different requirements. </t>
    </r>
    <r>
      <rPr>
        <i/>
        <sz val="10"/>
        <rFont val="Arial Narrow"/>
        <family val="2"/>
      </rPr>
      <t>The score is the number of other types divided by 3 (the maximum potential number of types).</t>
    </r>
  </si>
  <si>
    <r>
      <t xml:space="preserve">Trampling of native vegetation by recreationists can decrease seed germination and increase vulnerability to invasion by more tolerant invasive plants and ultimately reduce native plant richness.  These and other Best Management Practices (BMPs) potentially reduce such damage.  </t>
    </r>
    <r>
      <rPr>
        <i/>
        <sz val="10"/>
        <rFont val="Arial Narrow"/>
        <family val="2"/>
      </rPr>
      <t>In calculations, is excluded automatically (cell goes blank) if last choice in F59 was chosen AND first choice in F60 was chosen.</t>
    </r>
  </si>
  <si>
    <t>The germination of many plant species is triggered by the interaction of water conditions and season (light). Homogenization or alteration of the natural water regime can thus encourage invasive species at the expense of native flora. Inundation at aberrant times of the year can reduce native plant diversity because most native species have evolved in close synchronization with natural seasonal water regimes. Monthly timing of first soil moistening may be more important than duration of moist period before inundation and length of inundation., for determining the number of plants and number of species that germinate (Bliss &amp; Zedler 1997). Any development that involves increasing the area of lawn or impervious surface is likely to increase runoff amount and concentrate it within shorter time periods, i.e. “pulses” “flashiness” (Booth &amp; Jackson 1997, Booth et al. 2002, DeGasperi et al. 2009). This has been shown to make wetlands more susceptible to invasion by non-native plants (Magee &amp; Kentula 2005). However, one study found that forested wetlands in developed landscapes had community composition and structure similar to those in undeveloped landscapes, with number of exotic species being no greater (Ehrenfeld 2005).</t>
  </si>
  <si>
    <t>IF((RarePlant2=1),10, 10*AVERAGE(UniqClass, AVERAGE(Vstruc, Vspace, CfixV, Vscape, StressV))</t>
  </si>
  <si>
    <t>see OF7</t>
  </si>
  <si>
    <t>Within the AA, wildfire risk maps indicate low propensity to sustain fire.</t>
  </si>
  <si>
    <t>PermWpct15</t>
  </si>
  <si>
    <t xml:space="preserve">People are naturally drawn to larger areas of protected lands. </t>
  </si>
  <si>
    <t>Large expanses of open water are visually appealing as well as providing opportunity for water sports.</t>
  </si>
  <si>
    <r>
      <t>Life histories of resident fish are closely synchronized to natural hydrologic patterns. Wetlands where that has been disrupted will have lower capacity to support resident fish.</t>
    </r>
    <r>
      <rPr>
        <strike/>
        <sz val="10"/>
        <color rgb="FF0070C0"/>
        <rFont val="Arial Narrow"/>
        <family val="2"/>
      </rPr>
      <t/>
    </r>
  </si>
  <si>
    <r>
      <t xml:space="preserve">IF((OutNone + OutNone1&gt;0), 0, </t>
    </r>
    <r>
      <rPr>
        <b/>
        <sz val="10"/>
        <rFont val="Arial Narrow"/>
        <family val="2"/>
      </rPr>
      <t>ELSE</t>
    </r>
    <r>
      <rPr>
        <sz val="10"/>
        <rFont val="Arial Narrow"/>
        <family val="2"/>
      </rPr>
      <t>: 10*AVERAGE(CStock, LabileC, OutC)</t>
    </r>
  </si>
  <si>
    <r>
      <t xml:space="preserve">IF((OutNone + OutNone1&gt;0),0, </t>
    </r>
    <r>
      <rPr>
        <b/>
        <sz val="10"/>
        <rFont val="Arial Narrow"/>
        <family val="2"/>
      </rPr>
      <t>ELSE</t>
    </r>
    <r>
      <rPr>
        <sz val="10"/>
        <rFont val="Arial Narrow"/>
        <family val="2"/>
      </rPr>
      <t>: 10*[AVERAGE(GWDspring, Groundw2_, Wettype2, Soil2_) + AVERAGE(Sub0Days, PPET, 1-WindSumm, 1-WetPerim2Area, OpenPonded2, 1-WetVegArea) + AVERAGE(WetPctHUC8, ElevPctileHUC8, RipFloodpl)  + AVERAGE(Depth2_, OutDur2_)] / 4</t>
    </r>
  </si>
  <si>
    <t>10 * [2*AVERAGE(OutDura, STORE) + AVERAGE(INFILT, RESIST)] /3]</t>
  </si>
  <si>
    <t>Wind increases the evaporative loss of water from wetlands, creating more space for storage of additional runoff.  A 5-mile-per-hour wind can increase still-air evapotranspiration by 20 percent; a 15-mile-per-hour wind can increase still-air evapotranspiration by 50 percent (Chow 1964).  Wind also facilitates transpiration loss of water from vegetation by introducing heat energy into an area and removing vaporized moisture more quickly.</t>
  </si>
  <si>
    <t>Because they typically have a large component of Sphagnum mosses, both bogs and fens have high cation exchange capacity and thus high potential for retaining phosphorus, at least temporarily (Rippy &amp; Nelson 2007).  In boreal landscapes, rich fens retain more phosphorus than do bogs (Prepas et al. 2001) but most bogs lack outlets so may also be highly retentive. In marshes, more P is retained (temporarily) in wetland plants than in soils, whereas in fens, more P is retained in soils than in plants (Bayley &amp; Mehwort 2004).</t>
  </si>
  <si>
    <t xml:space="preserve">Marshes tend to retain or remove nitrogen (Bedford et al. 1999). Floodplain wetlands are notably effective for removing N via denitrification (Clilverd et al. 2008).  In boreal landscapes, rich fens usually retain more nitrate than do bogs (Prepas et al. 2001) due in part to mycorrhizal assemblages that enable vegetation to take up scarce nutrients in these nutrient-poor ecosystems (Thormann et al.2001).  N concentrations in some fen soils were found to be less than in marsh soils (Bayley &amp; Mehwort 2004), suggesting fens might be more effective even than marshes at removing N, as was found by Wray &amp; Bayley (2007). Although bogs, being typically nitrogen-poor (Heilman 1966), would seem able to rapidly take up much of the nitrate that reaches them (D’Amore et al. 2010, Vitt et al. 2003), their acidic conditions may inhibit nitrification and the removal of nitrate via denitrification (Pinay et al. 2003).  Thus, bogs tend to cycle nitrogen internally and remove only limited amounts of added N (Li &amp; Vitt 1997, Bayley &amp; Mewhort 2004) but if they lack outlets, as they typically do, retention will be high.  Mosses that are more prevalent in bogs and fens than in marshes have less capacity to take up apparently available N than do vascular plants (Heijmans et al. 2002, Berendse et al. 2001). Mosses also appear to inhibit generation of nitrous oxide, at least when relatively dry (Wray &amp; Bayley 2007).  Forested wetlands, especially those with an alder component or on slopes, may have less capacity to remove N via denitrification and may actually add nitrate via N fixation (Fellman &amp; D’Amore 2007). </t>
  </si>
  <si>
    <r>
      <t>Productivity of most amphibian species is greater in fresh rather than saline water, and some species are absent from high-conductivity waters (Browne et al. 2009).  Wood frog eggs and hatchlings are harmed when salt concentrations exceed 4500 mg/L (Langhans et al. 2009, Petranka et al. 2010), or perhaps as little as 78 mg/L (Sanzo &amp; Hecnar 2006).</t>
    </r>
    <r>
      <rPr>
        <i/>
        <sz val="10"/>
        <rFont val="Arial Narrow"/>
        <family val="2"/>
        <scheme val="minor"/>
      </rPr>
      <t xml:space="preserve"> If wetland is very saline or very dilute the score for this indicator is 0.  Otherwise it increases within increasing conductivity orTDS, up to a threshold of 1000 mg/L or 1000 µS/cm.</t>
    </r>
  </si>
  <si>
    <t>&gt;3 yrs ago</t>
  </si>
  <si>
    <t>[ AVERAGE(SoilTex3, Salin3) + AVERAGE(Wettype3, SatPct3, Algae3, Fluctu3, DomDepth3) ] / 2</t>
  </si>
  <si>
    <r>
      <t xml:space="preserve">IF((OutNone + OutNone1&gt;0),10, </t>
    </r>
    <r>
      <rPr>
        <b/>
        <sz val="10"/>
        <rFont val="Arial Narrow"/>
        <family val="2"/>
      </rPr>
      <t>ELSE</t>
    </r>
    <r>
      <rPr>
        <sz val="10"/>
        <rFont val="Arial Narrow"/>
        <family val="2"/>
      </rPr>
      <t>: 10*AVERAGE(ADSORB, SEDTRAP, OUT)</t>
    </r>
  </si>
  <si>
    <r>
      <t xml:space="preserve">   A1.</t>
    </r>
    <r>
      <rPr>
        <sz val="10"/>
        <rFont val="Arial Narrow"/>
        <family val="2"/>
      </rPr>
      <t xml:space="preserve"> Surface water is usually absent or, if present, pH is typically &lt;4.5 and conductivity is &lt;100 </t>
    </r>
    <r>
      <rPr>
        <sz val="10"/>
        <rFont val="Calibri"/>
        <family val="2"/>
      </rPr>
      <t>µ</t>
    </r>
    <r>
      <rPr>
        <sz val="10"/>
        <rFont val="Arial Narrow"/>
        <family val="2"/>
      </rPr>
      <t>S/cm (about 64 ppm TDS).  Often dominated by ericaceous shrubs (e.g., Labrador tea, lingonberry), sometimes with pitcher plant, sundew. Sedge cover usually sparse or absent. Trees, if present, are mainly limited to black spruce.  Wetland surface is never sloping, except sometimes from wetland center towards outer edges (convex), and surrounding landscape is flat.  Inlet and outlet channels are usually absent.</t>
    </r>
  </si>
  <si>
    <r>
      <t xml:space="preserve">   A2</t>
    </r>
    <r>
      <rPr>
        <sz val="10"/>
        <rFont val="Arial Narrow"/>
        <family val="2"/>
      </rPr>
      <t xml:space="preserve">. Not A1. Surface water, if present, has pH typically &gt;4.5 and conductivity is &gt;100 </t>
    </r>
    <r>
      <rPr>
        <sz val="10"/>
        <rFont val="Calibri"/>
        <family val="2"/>
      </rPr>
      <t>µ</t>
    </r>
    <r>
      <rPr>
        <sz val="10"/>
        <rFont val="Arial Narrow"/>
        <family val="2"/>
      </rPr>
      <t>S/cm.  Sedges and/or cottongrass often dominate the ground cover, while ericaceous shrubs and black spruce may also be present. Sometimes at toe of slope or edge of water body. An exit channel is usually present. Wetter than A1, often with many small persistent pools.</t>
    </r>
  </si>
  <si>
    <r>
      <t>Little or no (&lt;5%) </t>
    </r>
    <r>
      <rPr>
        <i/>
        <sz val="10"/>
        <rFont val="Arial Narrow"/>
        <family val="2"/>
      </rPr>
      <t>bare ground </t>
    </r>
    <r>
      <rPr>
        <sz val="10"/>
        <rFont val="Arial Narrow"/>
        <family val="2"/>
      </rPr>
      <t>is visible between erect stems or under canopy anywhere in the vegetated AA. Ground is extensively blanketed by dense thatch, moss, lichens, graminoids with great stem densities, or plants with ground-hugging foliage. </t>
    </r>
  </si>
  <si>
    <r>
      <t xml:space="preserve">Much bare ground (20-50% bare between plants) is visible in places, and those areas comprise </t>
    </r>
    <r>
      <rPr>
        <b/>
        <sz val="10"/>
        <rFont val="Arial Narrow"/>
        <family val="2"/>
      </rPr>
      <t>more than</t>
    </r>
    <r>
      <rPr>
        <sz val="10"/>
        <rFont val="Arial Narrow"/>
        <family val="2"/>
      </rPr>
      <t xml:space="preserve"> 5% of the unflooded parts of the AA. </t>
    </r>
  </si>
  <si>
    <r>
      <t xml:space="preserve">invasive species appear to be </t>
    </r>
    <r>
      <rPr>
        <b/>
        <sz val="10"/>
        <rFont val="Arial Narrow"/>
        <family val="2"/>
      </rPr>
      <t xml:space="preserve">absent </t>
    </r>
    <r>
      <rPr>
        <u/>
        <sz val="10"/>
        <rFont val="Arial Narrow"/>
        <family val="2"/>
      </rPr>
      <t>in</t>
    </r>
    <r>
      <rPr>
        <b/>
        <sz val="10"/>
        <rFont val="Arial Narrow"/>
        <family val="2"/>
      </rPr>
      <t xml:space="preserve"> </t>
    </r>
    <r>
      <rPr>
        <sz val="10"/>
        <rFont val="Arial Narrow"/>
        <family val="2"/>
      </rPr>
      <t>the AA or are present only in trace amount (a few individuals).</t>
    </r>
  </si>
  <si>
    <t>was not measured because no surface water could be found during this visit. Enter "1" in column to the right.</t>
  </si>
  <si>
    <t>[ AVERAGE[WetVegArea, MAX(ClassRichIn, ClassRichIn14),Vwidth14] + AVERAGE(WetPerim2Area,  Inclus14) + AVERAGE(SatPct14, PondedOWpct14) + AVERAGE(WoodyPct14,ShrubDiv14, HerbDom14, TreeTypes14, SnagD14, WoodDown14, Cliffs14) + AVERAGE(Interspers14, HerbWoodMix14)] / 5</t>
  </si>
  <si>
    <t>AVERAGE(NatCov1k, ClassRich1k, WetDens1k, CUbuffNatPct14)</t>
  </si>
  <si>
    <t>See OF8 above.</t>
  </si>
  <si>
    <r>
      <t xml:space="preserve">The weights for the importance of the various classes to songbirds, raptors, and mammals are from an in-depth, species-by-species database analysis performed by Ducks Unlimited, Canada (2014). Moderate-rich fen and poor fen tend to have multiple well-developed vegetation strata (Szumigalski et al.1997) and thus are more likely to support multiple songbird and mammal species. The same is true of swamps.  A comparison of 6 boreal forest types (mature deciduous, coniferous, and mixedwood; young forests; wooded bogs; and clearcuts) revealed the greatest songbird richness, and 30% higher abundance, in mixedwood (Machtans &amp; Letour 2003). Raised, treed "islands" within open bogs are favored by woodland caribou, probably because they contain greater biomass of lichens favored as wintertime food (Bradshaw et al. 1995). In contrast, within calving areas, females tend to select poor and rich fens relative to treed bogs and avoid most other land cover types. The risk of calf mortality has been found to be generally higher in landscapes with high proportions of hardwood swamp.  At the local scale, increasing selection of rich fens also equated to an increasing risk of calf mortality. The increased use of riskier habitats, such as rich fens, by caribou at calving may partially account for the higher reported predation rates of caribou during the spring (Demars et al. 2011). In general, females select calving areas in landscape mosaics comprised of high proportions of poor fens, rich fens and upland conifer, which contrasts with winter ranges dominated by treed bogs. </t>
    </r>
    <r>
      <rPr>
        <i/>
        <sz val="10"/>
        <rFont val="Arial Narrow"/>
        <family val="2"/>
        <scheme val="minor"/>
      </rPr>
      <t>The weights for the importance of the various classes to songbirds and mammals are from an in-depth, species-by-species database analysis performed by Ducks Unlimited, Canada using the Alberta Wetland Classification.</t>
    </r>
  </si>
  <si>
    <r>
      <t xml:space="preserve"> Sedges are favored as forage by many wetland mammals, but mixed assemblages with other herbaceous species are preferable. </t>
    </r>
    <r>
      <rPr>
        <i/>
        <sz val="10"/>
        <rFont val="Arial Narrow"/>
        <family val="2"/>
        <scheme val="minor"/>
      </rPr>
      <t>In calculations, is excluded automatically (cell goes blank) if herbaceous cover is &lt;5% of the vegetated cover.</t>
    </r>
  </si>
  <si>
    <t>AVERAGE(GrowDD, RipFloodpl, InfloPD, SoilTexPD, BeaverPD, GWpd, NfixPD, NewWetPD, FlucPD, Depth15)</t>
  </si>
  <si>
    <r>
      <t xml:space="preserve">IF((AllSat1&gt;0),[blank],IF((SmallAA=1),[blank], </t>
    </r>
    <r>
      <rPr>
        <b/>
        <sz val="10"/>
        <rFont val="Arial Narrow"/>
        <family val="2"/>
      </rPr>
      <t>ELSE</t>
    </r>
    <r>
      <rPr>
        <sz val="10"/>
        <rFont val="Arial Narrow"/>
        <family val="2"/>
      </rPr>
      <t>: (AVERAGE(WetVegArea, WidthPD, PondedOWpctPD, PersisPD) + AVERAGE(DownedWood15, Snags15, GirregPD, Rock15) ] /2</t>
    </r>
  </si>
  <si>
    <t>AVERAGE(NatCov1k, WetDens1k, ClassRich1k,  BuffLUpd, NatVegCApd)</t>
  </si>
  <si>
    <t>[ Invasives + AVERAGE(Dist2DevCrop, 1-RdDens1k, Dist2Road, DistPop, Core1pd, Core2pd, BMPsoils20, WeedSourcePD, AltTime20, Toxic20, SedDisturb20) ] / 2</t>
  </si>
  <si>
    <t>Sphagnum Moss Extent</t>
  </si>
  <si>
    <t>Preferably, measure this in larger areas of ponded surface water within the AA, or in streams that have passed through (not along) most of the AA. Unless surface water is completely absent, do not dig holes or make depressions in peat in order to provide water for this measurement.  Avoid measuring near roads.  pH of &lt;4.5 usually indicates bog.  pH of &gt;5.5 often indicates marsh or swamp, but also some fens. Fens can be  classified as poor fens (pH&lt;5.5), moderate-rich fens (pH 5.5 - 7), and rich fens (pH&gt;7.0). [AM, FH, INV, OE, WB]</t>
  </si>
  <si>
    <t>See above guidance.  Conductance of &lt;100 µS/cm usually indicates bog or poor fen. 100-250 µS/cm indicates moderate-rich fen, &gt;250 µS/cm indicates rich fen.</t>
  </si>
  <si>
    <r>
      <t>In the last column, place a check mark next to any item in the AA or its CA (contributing area) that is likely to have caused the</t>
    </r>
    <r>
      <rPr>
        <b/>
        <i/>
        <sz val="10"/>
        <color rgb="FF000000"/>
        <rFont val="Arial Narrow"/>
        <family val="2"/>
      </rPr>
      <t xml:space="preserve"> timing, depth, or volume</t>
    </r>
    <r>
      <rPr>
        <i/>
        <sz val="10"/>
        <color rgb="FF000000"/>
        <rFont val="Arial Narrow"/>
        <family val="2"/>
      </rPr>
      <t xml:space="preserve"> of this AA's surface or subsurface water to fall outside the natural range of hydrologic conditions that is usual for this AA's wetland class. </t>
    </r>
  </si>
  <si>
    <t>In the last column, place a check mark next to any item -- occurring in either the wetland or its CA -- that is likely to have accelerated the inputs of contaminants or salts to the AA.</t>
  </si>
  <si>
    <t>In the last column, place a check mark next to any item -- occurring in either the wetland or its CA -- that is likely to have accelerated the inputs of nutrients to the wetland.</t>
  </si>
  <si>
    <t>In the last column, place a check mark next to any item present in the CA that is likely to have elevated the load of waterborne or windborne sediment reaching the wetland from its CA.</t>
  </si>
  <si>
    <t>In the last column, place a check mark next to any item present in the wetland that is likely to have compacted, eroded, or otherwise altered the wetland's soil.  If the AA is a created or restored wetland or pond, exclude those actions.  B22</t>
  </si>
  <si>
    <t>Upland Edge Index</t>
  </si>
  <si>
    <t>Final Category (A, B, C, D)</t>
  </si>
  <si>
    <t>Water Cooling (WC)</t>
  </si>
  <si>
    <t>Sediment Retention &amp; Stabilization (SR)</t>
  </si>
  <si>
    <t>Water Storage &amp; Delay (WS)</t>
  </si>
  <si>
    <t>A study in Alaska found that 55% of the stream flow during a dry period originated from the nearsurface layers of peatlands within a watershed (Gracz et al. 2015). Runoff ratio (the percent of precipitation that contributes to streamflow immediately after storms) is lowest for open peatland areas with thick organic horizons, due partly to the low topographic gradients of such areas.  In contrast, runoff ratio is greater in areas with coarser and more permeable soils, other factors being equal. That is due partly to higher likelihood of groundwater reaching the land surface via seeps (Quinton et al. 2003).</t>
  </si>
  <si>
    <t xml:space="preserve">AVERAGE(OutDur7, RipFloodPl, ElevPctileHUC8) </t>
  </si>
  <si>
    <t>[ AVERAGE(WetVegArea, OpenPonded2, Interspers2) + AVERAGE(1-Sub0Days, SlopeBuffer, Gradient2) + AVERAGE (SeasPct2, Fluc2, DepthC2, WatEdgeSlope2, WidthAbs2, Iso2,ThruFlo2, Constric2, Gcover2, Girreg2,  Burn2, SoilAlt2) + WetPctCA2 ] / 4</t>
  </si>
  <si>
    <r>
      <t xml:space="preserve">IF((OutNone + OutNone1&gt;0),10, </t>
    </r>
    <r>
      <rPr>
        <b/>
        <sz val="10"/>
        <rFont val="Arial Narrow"/>
        <family val="2"/>
      </rPr>
      <t>ELSE</t>
    </r>
    <r>
      <rPr>
        <sz val="10"/>
        <rFont val="Arial Narrow"/>
        <family val="2"/>
      </rPr>
      <t>: 10*AVERAGE(TRAP, OUT)</t>
    </r>
  </si>
  <si>
    <t xml:space="preserve">AVERAGE(WetPerim2Area, SwampMarshPct, Interspers4,  Inclus4, Groundw4, PermWpct4, SatPct4, SeasWpct4, Fluctu4) </t>
  </si>
  <si>
    <r>
      <t xml:space="preserve">IF((OutNone + OutNone1&gt;0),10, </t>
    </r>
    <r>
      <rPr>
        <b/>
        <sz val="10"/>
        <rFont val="Arial Narrow"/>
        <family val="2"/>
      </rPr>
      <t>ELSE</t>
    </r>
    <r>
      <rPr>
        <sz val="10"/>
        <rFont val="Arial Narrow"/>
        <family val="2"/>
      </rPr>
      <t>: 10*AVERAGE(TEMP, CARB, REDOX, DELAY, OUT)</t>
    </r>
  </si>
  <si>
    <r>
      <t xml:space="preserve">Leaf litter from deciduous shrubs and trees tends to break down and cycle in receiving waters more rapidly than that of coniferous trees and shrubs, and leaf litter from trees tends to be carried by wind farther from its source than material from low shrubs and woody ground cover (thus making it more subject to export from a wetland).  </t>
    </r>
    <r>
      <rPr>
        <i/>
        <sz val="10"/>
        <rFont val="Arial Narrow"/>
        <family val="2"/>
        <scheme val="minor"/>
      </rPr>
      <t>In calculations, the classes are weighted in this order if they have &gt;25% cover: deciduous trees&gt; deciduous tall shrubs &gt; coniferous trees&gt; coniferous tall shrubs&gt; deciduous low shrubs&gt; coniferous low shrubs.</t>
    </r>
  </si>
  <si>
    <t>AVERAGE(GrowDD, Wettype6, Gradient6, Interspers6, ThruFlo6, Gcover6, PondedPct6, SeasWpct6, Shade6, Nfixer6)</t>
  </si>
  <si>
    <r>
      <t xml:space="preserve">Waters in burned catchments have more dissolved organic carbon and phosphorus, and slightly more nitrate than in unburned catchments of Alberta (McEachern et al. 2000, Swallow et al. 2009). Some of these conditions can persist for decades post-fire, potentially increasing aquatic productivity. However, such waters are also more acidic and turbid, and those factors can restrain increases in productivity (McEachern et al. 2000). Another study of boreal Alberta lakes found that geology was more influential than burn history (Moser et al. 1998). </t>
    </r>
    <r>
      <rPr>
        <i/>
        <sz val="10"/>
        <rFont val="Arial Narrow"/>
        <family val="2"/>
        <scheme val="minor"/>
      </rPr>
      <t>Is ignored in calculations (cell goes blank) if wetland not burned in last 30 years.</t>
    </r>
  </si>
  <si>
    <t xml:space="preserve">AVERAGE(WetPerim2Area, WetVegArea, MAX(ClassRichIn8, ClassRichIn),OWpct8, HerbDiv8, ThruFlo8, WoodDown8,  Interspers8, VegIntersp8, Burn8, DepthDiv8, AqCov8)  </t>
  </si>
  <si>
    <t>AVERAGE(GrowDD, Conduc8, AVERAGE(Wettype8, Moss8, Stain8), Depth8, Fluc8, Nfixers8, WoodyPct8)</t>
  </si>
  <si>
    <t>AVERAGE(SedCA8, Toxic8, AltTime8, SoilDisturb8, BuffNatPct8, NatCov1k, CUbuffPctNat8)</t>
  </si>
  <si>
    <r>
      <t xml:space="preserve">10*AVERAGE(WetType8, </t>
    </r>
    <r>
      <rPr>
        <sz val="10"/>
        <rFont val="Arial Narrow"/>
        <family val="2"/>
      </rPr>
      <t>UniqMarshShallowOW, AVERAGE(WaterI, HabStrucI, CfixI, StressI))</t>
    </r>
  </si>
  <si>
    <t>[MAX(FishPres, Fish10), AVERAGE(GrowDD, Groundw10, Lake10, Fringe10, Conduc10, Beaver10, Burn10, AcidicPool10)] /2</t>
  </si>
  <si>
    <t xml:space="preserve">AVERAGE(OutDura10, PermWpct10, SatPct10, GWDspring)  </t>
  </si>
  <si>
    <t>AVERAGE(Dist2Road,1-RdDens1k,Toxic10, AltTime10, NatVegCUpct10)</t>
  </si>
  <si>
    <r>
      <t xml:space="preserve">IF((RareFish=1),10, IF((AllSat1=1),0, </t>
    </r>
    <r>
      <rPr>
        <b/>
        <sz val="10"/>
        <rFont val="Arial Narrow"/>
        <family val="2"/>
      </rPr>
      <t>ELSE</t>
    </r>
    <r>
      <rPr>
        <sz val="10"/>
        <rFont val="Arial Narrow"/>
        <family val="2"/>
      </rPr>
      <t>: 10*AVERAGE(Fish10, AVERAGE(CfixF, HabStrucF, Water, AnoxF, StressF)</t>
    </r>
  </si>
  <si>
    <t>AVERAGE(Interspers11, HerbWoodMix11, IsoWet11, AVERAGE(ClassRichIn, WetPerim2Area, OWpct11, Girreg11, Vwidth11, TreeVar11,WoodDown11, WoodAbove11)</t>
  </si>
  <si>
    <t>AVERAGE(UniqFenMarshSwamp, ClassRich1k, WetDens1k_noBog, BuffNatPct11, NatCov1k)</t>
  </si>
  <si>
    <t>AVERAGE(MAX(1-FishPres, Fish11), AVERAGE(WindSumm, Toxic11, 1-RdDens1k, Dist2Rd, Dist2DevCrop, Core1_11, Core2_11, BMP_11)</t>
  </si>
  <si>
    <t>See OF30 above.</t>
  </si>
  <si>
    <t>Most breeding waterbirds are naturally drawn to more productive wetlands, which tend to be marshes and wetlands with extensive aquatic bed vegetation (Thormann &amp; Bayley 1997a, b, Found et al. 2008, DUC 2014).  Many waterbird species, such as trumpeter swan (Fontaine &amp; Heckbert 2010), use ponds surrounded by bogs and fens to a much lesser degree than marshes. The weights for the importance of the various classes to waterbirds are from an in-depth, species-by-species database analysis performed by Ducks Unlimited, Canada.</t>
  </si>
  <si>
    <t>MAX(SBhab13, AVERAGE(WetVegArea,ISOdry13, OWpct13, Interspers13, EmPct13, DepthEven13, ShoreSlope13, TreeForm13, SnagB13, Island13, VwidthAbs13))</t>
  </si>
  <si>
    <t>AVERAGE(Gradient13, Wettype13, AVERAGE(GrowDD, RipFloodpl, Lake13, Fish13, SatPct13, Acidic13, Woody13, Beaver13,  SeasWetPct13, Fluctu13))</t>
  </si>
  <si>
    <r>
      <t xml:space="preserve">AVERAGE(WetDens1k_OW,UndevOpenL1k, OWpct_WB) </t>
    </r>
    <r>
      <rPr>
        <strike/>
        <sz val="10"/>
        <rFont val="Arial Narrow"/>
        <family val="2"/>
      </rPr>
      <t/>
    </r>
  </si>
  <si>
    <r>
      <t xml:space="preserve">IF((MAX(RareWB, IBirdArea, RareBirdUse,TrumSwan)&gt;0),10, </t>
    </r>
    <r>
      <rPr>
        <b/>
        <sz val="10"/>
        <rFont val="Arial Narrow"/>
        <family val="2"/>
      </rPr>
      <t>ELSE</t>
    </r>
    <r>
      <rPr>
        <sz val="10"/>
        <rFont val="Arial Narrow"/>
        <family val="2"/>
      </rPr>
      <t>: 10*AVERAGE(PermWPct13, UniqMarshShallowOW, HabStrucW, CfixW, LscapeW, StressW))</t>
    </r>
  </si>
  <si>
    <t>10*MAX(Firebreak, OWpct, PermWpct15, Burn15)</t>
  </si>
  <si>
    <r>
      <t xml:space="preserve">IF((Algae=1),0, </t>
    </r>
    <r>
      <rPr>
        <b/>
        <sz val="10"/>
        <rFont val="Arial Narrow"/>
        <family val="2"/>
        <scheme val="minor"/>
      </rPr>
      <t>ELSE</t>
    </r>
    <r>
      <rPr>
        <sz val="10"/>
        <rFont val="Arial Narrow"/>
        <family val="2"/>
        <scheme val="minor"/>
      </rPr>
      <t>:  AVERAGE(WetArea, OWarea, Fringe21, Lake21,PondedOWpct21)</t>
    </r>
  </si>
  <si>
    <t>[ AVERAGE(1-Dist2Road, RdDens1k, 1-DistPop, Reserve) ] /2</t>
  </si>
  <si>
    <r>
      <t>AVERAGE(</t>
    </r>
    <r>
      <rPr>
        <sz val="10"/>
        <rFont val="Arial Narrow"/>
        <family val="2"/>
      </rPr>
      <t>WetVegArea, OWpct6, SoilTex6, Moss6, Fluctu6, NewWet6, Burn6, VwidthAbs6)</t>
    </r>
  </si>
  <si>
    <t xml:space="preserve">Normalized Score (ABWRET_A ESub) </t>
  </si>
  <si>
    <t>Function Raw Scores (ABWRET-E)</t>
  </si>
  <si>
    <t>Normalized Function Scores (ABWRET-E):</t>
  </si>
  <si>
    <t>Normalized Score (ABWRET_E)  Based on 102 Calibration Sites</t>
  </si>
  <si>
    <t xml:space="preserve">Normalized Score (ABWRET_E) </t>
  </si>
  <si>
    <t>Function Raw Scores (ABWRET-ESub)</t>
  </si>
  <si>
    <t>Normalized Function Scores (ABWRET-ESub):</t>
  </si>
  <si>
    <t>Normalized Score (ABWRET ESub)  Based on 102 Calibration Sites</t>
  </si>
  <si>
    <t>Site Identifier:</t>
  </si>
  <si>
    <t>Cover Page. Documentation of Wetland Assessment Using ABWRET-A for the Boreal and Foothills Natural Regions of Alberta.(Version 1.0 Sep 2016)</t>
  </si>
  <si>
    <t>IF((RareAM=1),10,10*AVERAGE(SensAm, Wettype11,HabStrucA, CfixA, LscapeAM,StressA)</t>
  </si>
  <si>
    <t>Fill Data Here</t>
  </si>
  <si>
    <r>
      <t xml:space="preserve">If the AA is smaller than 1 ha, mark all </t>
    </r>
    <r>
      <rPr>
        <b/>
        <sz val="10"/>
        <color theme="0"/>
        <rFont val="Arial Narrow"/>
        <family val="2"/>
      </rPr>
      <t>other</t>
    </r>
    <r>
      <rPr>
        <sz val="10"/>
        <color theme="0"/>
        <rFont val="Arial Narrow"/>
        <family val="2"/>
      </rPr>
      <t xml:space="preserve"> types that occupy more than 1% of the vegetated AA.  If the AA is larger than 1 ha, mark all other types which adjoin directly (are contiguous with) the AA and occupy more than 1 ha, as visible from the AA or as interpreted from aerial imagery.  Do not mark again the type marked in F1.</t>
    </r>
  </si>
  <si>
    <r>
      <t xml:space="preserve">Following </t>
    </r>
    <r>
      <rPr>
        <b/>
        <sz val="10"/>
        <color theme="0"/>
        <rFont val="Arial Narrow"/>
        <family val="2"/>
      </rPr>
      <t>EACH</t>
    </r>
    <r>
      <rPr>
        <sz val="10"/>
        <color theme="0"/>
        <rFont val="Arial Narrow"/>
        <family val="2"/>
      </rPr>
      <t xml:space="preserve"> row below, indicate with a number code the percentage of the of the living vegetation in the AA occupied by that feature (</t>
    </r>
    <r>
      <rPr>
        <b/>
        <sz val="10"/>
        <color theme="0"/>
        <rFont val="Arial Narrow"/>
        <family val="2"/>
      </rPr>
      <t>5</t>
    </r>
    <r>
      <rPr>
        <sz val="10"/>
        <color theme="0"/>
        <rFont val="Arial Narrow"/>
        <family val="2"/>
      </rPr>
      <t xml:space="preserve"> if &gt;75%,</t>
    </r>
    <r>
      <rPr>
        <b/>
        <sz val="10"/>
        <color theme="0"/>
        <rFont val="Arial Narrow"/>
        <family val="2"/>
      </rPr>
      <t xml:space="preserve">   4 </t>
    </r>
    <r>
      <rPr>
        <sz val="10"/>
        <color theme="0"/>
        <rFont val="Arial Narrow"/>
        <family val="2"/>
      </rPr>
      <t xml:space="preserve">if 50-75%,   </t>
    </r>
    <r>
      <rPr>
        <b/>
        <sz val="10"/>
        <color theme="0"/>
        <rFont val="Arial Narrow"/>
        <family val="2"/>
      </rPr>
      <t>3</t>
    </r>
    <r>
      <rPr>
        <sz val="10"/>
        <color theme="0"/>
        <rFont val="Arial Narrow"/>
        <family val="2"/>
      </rPr>
      <t xml:space="preserve"> if 25-50%,   </t>
    </r>
    <r>
      <rPr>
        <b/>
        <sz val="10"/>
        <color theme="0"/>
        <rFont val="Arial Narrow"/>
        <family val="2"/>
      </rPr>
      <t>2</t>
    </r>
    <r>
      <rPr>
        <sz val="10"/>
        <color theme="0"/>
        <rFont val="Arial Narrow"/>
        <family val="2"/>
      </rPr>
      <t xml:space="preserve"> if 5-25%,   </t>
    </r>
    <r>
      <rPr>
        <b/>
        <sz val="10"/>
        <color theme="0"/>
        <rFont val="Arial Narrow"/>
        <family val="2"/>
      </rPr>
      <t>1</t>
    </r>
    <r>
      <rPr>
        <sz val="10"/>
        <color theme="0"/>
        <rFont val="Arial Narrow"/>
        <family val="2"/>
      </rPr>
      <t xml:space="preserve"> if &lt;5%, </t>
    </r>
    <r>
      <rPr>
        <b/>
        <sz val="10"/>
        <color theme="0"/>
        <rFont val="Arial Narrow"/>
        <family val="2"/>
      </rPr>
      <t>0</t>
    </r>
    <r>
      <rPr>
        <sz val="10"/>
        <color theme="0"/>
        <rFont val="Arial Narrow"/>
        <family val="2"/>
      </rPr>
      <t xml:space="preserve"> if none).  If the AA has no trees or shrubs, </t>
    </r>
    <r>
      <rPr>
        <b/>
        <sz val="11"/>
        <color theme="0"/>
        <rFont val="Arial Narrow"/>
        <family val="2"/>
      </rPr>
      <t>SKIP to F8</t>
    </r>
    <r>
      <rPr>
        <b/>
        <sz val="10"/>
        <color theme="0"/>
        <rFont val="Arial Narrow"/>
        <family val="2"/>
      </rPr>
      <t>.</t>
    </r>
  </si>
  <si>
    <r>
      <t xml:space="preserve">Mark all the diameter classes of woody plants within the AA, but </t>
    </r>
    <r>
      <rPr>
        <b/>
        <sz val="10"/>
        <color theme="0"/>
        <rFont val="Arial Narrow"/>
        <family val="2"/>
      </rPr>
      <t>only IF</t>
    </r>
    <r>
      <rPr>
        <sz val="10"/>
        <color theme="0"/>
        <rFont val="Arial Narrow"/>
        <family val="2"/>
      </rPr>
      <t xml:space="preserve"> they comprise </t>
    </r>
    <r>
      <rPr>
        <b/>
        <sz val="10"/>
        <color theme="0"/>
        <rFont val="Arial Narrow"/>
        <family val="2"/>
      </rPr>
      <t>&gt;5%</t>
    </r>
    <r>
      <rPr>
        <sz val="10"/>
        <color theme="0"/>
        <rFont val="Arial Narrow"/>
        <family val="2"/>
      </rPr>
      <t xml:space="preserve"> </t>
    </r>
    <r>
      <rPr>
        <b/>
        <sz val="10"/>
        <color theme="0"/>
        <rFont val="Arial Narrow"/>
        <family val="2"/>
      </rPr>
      <t>of the woody canopy</t>
    </r>
    <r>
      <rPr>
        <sz val="10"/>
        <color theme="0"/>
        <rFont val="Arial Narrow"/>
        <family val="2"/>
      </rPr>
      <t xml:space="preserve"> or subcanopy within the AA.  Do not count trees that adjoin but are not within the AA.</t>
    </r>
  </si>
  <si>
    <r>
      <t xml:space="preserve">If trees taller than 3 m comprise &lt;5% of the vegetative cover, </t>
    </r>
    <r>
      <rPr>
        <b/>
        <sz val="11"/>
        <color theme="0"/>
        <rFont val="Arial Narrow"/>
        <family val="2"/>
      </rPr>
      <t>SKIP to F10</t>
    </r>
    <r>
      <rPr>
        <b/>
        <sz val="12"/>
        <color theme="0"/>
        <rFont val="Arial Narrow"/>
        <family val="2"/>
      </rPr>
      <t xml:space="preserve"> </t>
    </r>
    <r>
      <rPr>
        <sz val="10"/>
        <color theme="0"/>
        <rFont val="Arial Narrow"/>
        <family val="2"/>
      </rPr>
      <t xml:space="preserve">(Sphagnum Moss Extent). Otherwise, answer this: The number of downed wood pieces </t>
    </r>
    <r>
      <rPr>
        <b/>
        <sz val="10"/>
        <color theme="0"/>
        <rFont val="Arial Narrow"/>
        <family val="2"/>
      </rPr>
      <t xml:space="preserve">longer than 2 m </t>
    </r>
    <r>
      <rPr>
        <sz val="10"/>
        <color theme="0"/>
        <rFont val="Arial Narrow"/>
        <family val="2"/>
      </rPr>
      <t xml:space="preserve">and with diameter </t>
    </r>
    <r>
      <rPr>
        <b/>
        <sz val="10"/>
        <color theme="0"/>
        <rFont val="Arial Narrow"/>
        <family val="2"/>
      </rPr>
      <t>&gt;5 cm,</t>
    </r>
    <r>
      <rPr>
        <sz val="10"/>
        <color theme="0"/>
        <rFont val="Arial Narrow"/>
        <family val="2"/>
      </rPr>
      <t xml:space="preserve"> and </t>
    </r>
    <r>
      <rPr>
        <b/>
        <sz val="10"/>
        <color theme="0"/>
        <rFont val="Arial Narrow"/>
        <family val="2"/>
      </rPr>
      <t>not persistently submerged</t>
    </r>
    <r>
      <rPr>
        <sz val="10"/>
        <color theme="0"/>
        <rFont val="Arial Narrow"/>
        <family val="2"/>
      </rPr>
      <t>, is:</t>
    </r>
  </si>
  <si>
    <t>If shrubs shorter than 3 m comprise &lt;5% of the vegetative cover, proceed to next question. Otherwise, determine which two native shrub species (&lt;3 m tall) comprise the greatest portion of the native shrub cover. Then choose one of the following:</t>
  </si>
  <si>
    <r>
      <t>The number of large snags (</t>
    </r>
    <r>
      <rPr>
        <b/>
        <sz val="10"/>
        <color theme="0"/>
        <rFont val="Arial Narrow"/>
        <family val="2"/>
      </rPr>
      <t>diameter &gt;20 cm</t>
    </r>
    <r>
      <rPr>
        <sz val="10"/>
        <color theme="0"/>
        <rFont val="Arial Narrow"/>
        <family val="2"/>
      </rPr>
      <t>) in the AA plus adjoining upland area within 10 m of the wetland edge is:</t>
    </r>
  </si>
  <si>
    <r>
      <t xml:space="preserve">The cover of </t>
    </r>
    <r>
      <rPr>
        <b/>
        <sz val="10"/>
        <color theme="0"/>
        <rFont val="Arial Narrow"/>
        <family val="2"/>
      </rPr>
      <t>Sphagnum</t>
    </r>
    <r>
      <rPr>
        <sz val="10"/>
        <color theme="0"/>
        <rFont val="Arial Narrow"/>
        <family val="2"/>
      </rPr>
      <t xml:space="preserve"> moss (or any moss that forms a dense cushion many centimeters thick), including the moss obscured by taller sedges and other plants rooted in it, is:</t>
    </r>
  </si>
  <si>
    <r>
      <t xml:space="preserve">Consider the parts of the AA that lack surface water at the driest time of the growing season.  </t>
    </r>
    <r>
      <rPr>
        <b/>
        <sz val="10"/>
        <color theme="0"/>
        <rFont val="Arial Narrow"/>
        <family val="2"/>
      </rPr>
      <t>Viewed from directly above the ground layer</t>
    </r>
    <r>
      <rPr>
        <sz val="10"/>
        <color theme="0"/>
        <rFont val="Arial Narrow"/>
        <family val="2"/>
      </rPr>
      <t>, the predominant condition in those areas at that time is:</t>
    </r>
  </si>
  <si>
    <r>
      <t xml:space="preserve">Consider the parts of the AA that lack surface water at some time of the year.  The number of hummocks, small pits, raised mounds, upturned trees, animal burrows, gullies, natural levees, microdepressions, and other areas of peat or mineral soil that are </t>
    </r>
    <r>
      <rPr>
        <b/>
        <sz val="10"/>
        <color theme="0"/>
        <rFont val="Arial Narrow"/>
        <family val="2"/>
      </rPr>
      <t>raised or depressed &gt;10 cm</t>
    </r>
    <r>
      <rPr>
        <sz val="10"/>
        <color theme="0"/>
        <rFont val="Arial Narrow"/>
        <family val="2"/>
      </rPr>
      <t xml:space="preserve"> compared to most of the area immediately surrounding them is:</t>
    </r>
  </si>
  <si>
    <r>
      <rPr>
        <b/>
        <sz val="10"/>
        <color theme="0"/>
        <rFont val="Arial Narrow"/>
        <family val="2"/>
      </rPr>
      <t>Within</t>
    </r>
    <r>
      <rPr>
        <sz val="10"/>
        <color theme="0"/>
        <rFont val="Arial Narrow"/>
        <family val="2"/>
      </rPr>
      <t xml:space="preserve"> the AA, inclusions of upland that individually are &gt;100 sq.m. are:</t>
    </r>
  </si>
  <si>
    <r>
      <t>In parts of the AA that lack persistent water, the texture of soil in the uppermost layer is mostly:  [</t>
    </r>
    <r>
      <rPr>
        <i/>
        <sz val="10"/>
        <color theme="0"/>
        <rFont val="Arial Narrow"/>
        <family val="2"/>
      </rPr>
      <t>To determine this, use a trowel to check in at least 3 widely spaced locations, and use the soil texture key in Appendix A of the Manual].</t>
    </r>
  </si>
  <si>
    <r>
      <t xml:space="preserve">The areal cover of </t>
    </r>
    <r>
      <rPr>
        <b/>
        <sz val="10"/>
        <color theme="0"/>
        <rFont val="Arial Narrow"/>
        <family val="2"/>
      </rPr>
      <t xml:space="preserve">forbs </t>
    </r>
    <r>
      <rPr>
        <sz val="10"/>
        <color theme="0"/>
        <rFont val="Arial Narrow"/>
        <family val="2"/>
      </rPr>
      <t>reaches an annual maximum of:</t>
    </r>
  </si>
  <si>
    <r>
      <t>Sedges (</t>
    </r>
    <r>
      <rPr>
        <i/>
        <sz val="10"/>
        <color theme="0"/>
        <rFont val="Arial Narrow"/>
        <family val="2"/>
      </rPr>
      <t>Carex</t>
    </r>
    <r>
      <rPr>
        <sz val="10"/>
        <color theme="0"/>
        <rFont val="Arial Narrow"/>
        <family val="2"/>
      </rPr>
      <t xml:space="preserve"> spp.) and/or cottongrass (</t>
    </r>
    <r>
      <rPr>
        <i/>
        <sz val="10"/>
        <color theme="0"/>
        <rFont val="Arial Narrow"/>
        <family val="2"/>
      </rPr>
      <t>Eriophorum</t>
    </r>
    <r>
      <rPr>
        <sz val="10"/>
        <color theme="0"/>
        <rFont val="Arial Narrow"/>
        <family val="2"/>
      </rPr>
      <t xml:space="preserve"> spp.) occupy:</t>
    </r>
  </si>
  <si>
    <r>
      <t xml:space="preserve">In this region, the more frequent invasive graminoids include smooth brome, several bluegrasses, quackgrass, timothy, alfalfa, reed canarygrass, red fescue, spreading bentgrass.  The more frequent invasive forbs include most thistles and sow-thistles, most clovers, sweetclover, black medick, dandelion, great plantain, hemp-nettle, lamb's-quarters, shepherd's-purse, curly dock, pennycress, wallflower, hawksbeard, tansy, some chickweeds, sticky-willy bedstraw, stickseed, tall buttercup. Select the condition that represents </t>
    </r>
    <r>
      <rPr>
        <b/>
        <sz val="10"/>
        <color theme="0"/>
        <rFont val="Arial Narrow"/>
        <family val="2"/>
      </rPr>
      <t>whichever cover of invasives is greater</t>
    </r>
    <r>
      <rPr>
        <sz val="10"/>
        <color theme="0"/>
        <rFont val="Arial Narrow"/>
        <family val="2"/>
      </rPr>
      <t xml:space="preserve"> -- percent herbaceous that is invasive, or percent woody that is invasive:</t>
    </r>
  </si>
  <si>
    <r>
      <t xml:space="preserve">The percentage of the AA that </t>
    </r>
    <r>
      <rPr>
        <u/>
        <sz val="10"/>
        <color theme="0"/>
        <rFont val="Arial Narrow"/>
        <family val="2"/>
      </rPr>
      <t xml:space="preserve">never </t>
    </r>
    <r>
      <rPr>
        <sz val="10"/>
        <color theme="0"/>
        <rFont val="Arial Narrow"/>
        <family val="2"/>
      </rPr>
      <t>contains</t>
    </r>
    <r>
      <rPr>
        <u/>
        <sz val="10"/>
        <color theme="0"/>
        <rFont val="Arial Narrow"/>
        <family val="2"/>
      </rPr>
      <t xml:space="preserve"> surface</t>
    </r>
    <r>
      <rPr>
        <sz val="10"/>
        <color theme="0"/>
        <rFont val="Arial Narrow"/>
        <family val="2"/>
      </rPr>
      <t xml:space="preserve"> water during an average year (that is, except perhaps for a few hours after snowmelt or rainstorms), but which is still a wetland, is:</t>
    </r>
  </si>
  <si>
    <r>
      <t xml:space="preserve">The percentage of the AA that has </t>
    </r>
    <r>
      <rPr>
        <b/>
        <sz val="10"/>
        <color theme="0"/>
        <rFont val="Arial Narrow"/>
        <family val="2"/>
      </rPr>
      <t>surface</t>
    </r>
    <r>
      <rPr>
        <sz val="10"/>
        <color theme="0"/>
        <rFont val="Arial Narrow"/>
        <family val="2"/>
      </rPr>
      <t xml:space="preserve"> water (either ponded or flowing, either open or obscured by vegetation) during </t>
    </r>
    <r>
      <rPr>
        <b/>
        <sz val="10"/>
        <color theme="0"/>
        <rFont val="Arial Narrow"/>
        <family val="2"/>
      </rPr>
      <t xml:space="preserve">all </t>
    </r>
    <r>
      <rPr>
        <sz val="10"/>
        <color theme="0"/>
        <rFont val="Arial Narrow"/>
        <family val="2"/>
      </rPr>
      <t>of the growing season during most years is:</t>
    </r>
  </si>
  <si>
    <r>
      <t>At mid-day</t>
    </r>
    <r>
      <rPr>
        <sz val="10"/>
        <color theme="0"/>
        <rFont val="Arial Narrow"/>
        <family val="2"/>
      </rPr>
      <t xml:space="preserve"> during the warmest time of year, the area of surface water </t>
    </r>
    <r>
      <rPr>
        <u/>
        <sz val="10"/>
        <color theme="0"/>
        <rFont val="Arial Narrow"/>
        <family val="2"/>
      </rPr>
      <t>within</t>
    </r>
    <r>
      <rPr>
        <sz val="10"/>
        <color theme="0"/>
        <rFont val="Arial Narrow"/>
        <family val="2"/>
      </rPr>
      <t xml:space="preserve"> the AA that is shaded by vegetation and other </t>
    </r>
    <r>
      <rPr>
        <b/>
        <sz val="10"/>
        <color theme="0"/>
        <rFont val="Arial Narrow"/>
        <family val="2"/>
      </rPr>
      <t xml:space="preserve">features that are </t>
    </r>
    <r>
      <rPr>
        <b/>
        <u/>
        <sz val="10"/>
        <color theme="0"/>
        <rFont val="Arial Narrow"/>
        <family val="2"/>
      </rPr>
      <t>within</t>
    </r>
    <r>
      <rPr>
        <sz val="10"/>
        <color theme="0"/>
        <rFont val="Arial Narrow"/>
        <family val="2"/>
      </rPr>
      <t xml:space="preserve"> the AA at that time is:</t>
    </r>
  </si>
  <si>
    <r>
      <t>The percentage of the AA that is covered by unfrozen surface water</t>
    </r>
    <r>
      <rPr>
        <b/>
        <u/>
        <sz val="10"/>
        <color theme="0"/>
        <rFont val="Arial Narrow"/>
        <family val="2"/>
      </rPr>
      <t xml:space="preserve"> only</t>
    </r>
    <r>
      <rPr>
        <sz val="10"/>
        <color theme="0"/>
        <rFont val="Arial Narrow"/>
        <family val="2"/>
      </rPr>
      <t xml:space="preserve"> during the wettest time of the year is:</t>
    </r>
  </si>
  <si>
    <r>
      <t xml:space="preserve">The annual fluctuation in surface water level within </t>
    </r>
    <r>
      <rPr>
        <b/>
        <sz val="10"/>
        <color theme="0"/>
        <rFont val="Arial Narrow"/>
        <family val="2"/>
      </rPr>
      <t>most</t>
    </r>
    <r>
      <rPr>
        <sz val="10"/>
        <color theme="0"/>
        <rFont val="Arial Narrow"/>
        <family val="2"/>
      </rPr>
      <t xml:space="preserve"> of the parts of the AA that contain surface water is:</t>
    </r>
  </si>
  <si>
    <r>
      <t xml:space="preserve">During most of the time when water is present, its depth in </t>
    </r>
    <r>
      <rPr>
        <b/>
        <sz val="10"/>
        <color theme="0"/>
        <rFont val="Arial Narrow"/>
        <family val="2"/>
      </rPr>
      <t>most</t>
    </r>
    <r>
      <rPr>
        <sz val="10"/>
        <color theme="0"/>
        <rFont val="Arial Narrow"/>
        <family val="2"/>
      </rPr>
      <t xml:space="preserve"> of the area is: [</t>
    </r>
    <r>
      <rPr>
        <i/>
        <sz val="10"/>
        <color theme="0"/>
        <rFont val="Arial Narrow"/>
        <family val="2"/>
      </rPr>
      <t>Note: This is not asking for the maximum depth].</t>
    </r>
    <r>
      <rPr>
        <sz val="10"/>
        <color theme="0"/>
        <rFont val="Arial Narrow"/>
        <family val="2"/>
      </rPr>
      <t xml:space="preserve"> If a ponded body of open water that adjoins the AA is larger than 8 ha, include its waters in this estimate, but only those waters within a distance from the AA that is equal to the vegetated AA's width]</t>
    </r>
  </si>
  <si>
    <r>
      <t xml:space="preserve">The percentage of the AA's surface water that is </t>
    </r>
    <r>
      <rPr>
        <b/>
        <sz val="10"/>
        <color theme="0"/>
        <rFont val="Arial Narrow"/>
        <family val="2"/>
      </rPr>
      <t>ponded</t>
    </r>
    <r>
      <rPr>
        <sz val="10"/>
        <color theme="0"/>
        <rFont val="Arial Narrow"/>
        <family val="2"/>
      </rPr>
      <t xml:space="preserve"> (stagnant, or flows so slowly that fine sediment is not held in suspension) </t>
    </r>
    <r>
      <rPr>
        <b/>
        <sz val="10"/>
        <color theme="0"/>
        <rFont val="Arial Narrow"/>
        <family val="2"/>
      </rPr>
      <t>during most of the time it is present</t>
    </r>
    <r>
      <rPr>
        <sz val="10"/>
        <color theme="0"/>
        <rFont val="Arial Narrow"/>
        <family val="2"/>
      </rPr>
      <t xml:space="preserve"> during the growing season, and which is either open or shaded by emergent vegetation, is:</t>
    </r>
  </si>
  <si>
    <r>
      <t xml:space="preserve">During most of the growing season, the largest patch of </t>
    </r>
    <r>
      <rPr>
        <b/>
        <sz val="10"/>
        <color theme="0"/>
        <rFont val="Arial Narrow"/>
        <family val="2"/>
      </rPr>
      <t xml:space="preserve">open </t>
    </r>
    <r>
      <rPr>
        <sz val="10"/>
        <color theme="0"/>
        <rFont val="Arial Narrow"/>
        <family val="2"/>
      </rPr>
      <t xml:space="preserve">water that is </t>
    </r>
    <r>
      <rPr>
        <b/>
        <sz val="10"/>
        <color theme="0"/>
        <rFont val="Arial Narrow"/>
        <family val="2"/>
      </rPr>
      <t>ponded</t>
    </r>
    <r>
      <rPr>
        <sz val="10"/>
        <color theme="0"/>
        <rFont val="Arial Narrow"/>
        <family val="2"/>
      </rPr>
      <t xml:space="preserve"> and is in or bordering the AA is </t>
    </r>
    <r>
      <rPr>
        <b/>
        <sz val="10"/>
        <color theme="0"/>
        <rFont val="Arial Narrow"/>
        <family val="2"/>
      </rPr>
      <t xml:space="preserve">&gt;0.01 hectare </t>
    </r>
    <r>
      <rPr>
        <sz val="10"/>
        <color theme="0"/>
        <rFont val="Arial Narrow"/>
        <family val="2"/>
      </rPr>
      <t>(about 10 m by 10 m)</t>
    </r>
    <r>
      <rPr>
        <b/>
        <sz val="10"/>
        <color theme="0"/>
        <rFont val="Arial Narrow"/>
        <family val="2"/>
      </rPr>
      <t xml:space="preserve"> and mostly deeper than 0.5 m.</t>
    </r>
    <r>
      <rPr>
        <sz val="10"/>
        <color theme="0"/>
        <rFont val="Arial Narrow"/>
        <family val="2"/>
      </rPr>
      <t xml:space="preserve">  If true enter "1" and continue,  If false, enter "0" and </t>
    </r>
    <r>
      <rPr>
        <b/>
        <sz val="11"/>
        <color theme="0"/>
        <rFont val="Arial Narrow"/>
        <family val="2"/>
      </rPr>
      <t>SKIP to F41</t>
    </r>
    <r>
      <rPr>
        <b/>
        <sz val="10"/>
        <color theme="0"/>
        <rFont val="Arial Narrow"/>
        <family val="2"/>
      </rPr>
      <t xml:space="preserve"> </t>
    </r>
    <r>
      <rPr>
        <sz val="10"/>
        <color theme="0"/>
        <rFont val="Arial Narrow"/>
        <family val="2"/>
      </rPr>
      <t>(Floating Algae &amp; Duckweed).</t>
    </r>
  </si>
  <si>
    <r>
      <t xml:space="preserve">In ducks-eye aerial view, the percentage of the ponded water that is </t>
    </r>
    <r>
      <rPr>
        <b/>
        <sz val="10"/>
        <color theme="0"/>
        <rFont val="Arial Narrow"/>
        <family val="2"/>
      </rPr>
      <t>open</t>
    </r>
    <r>
      <rPr>
        <sz val="10"/>
        <color theme="0"/>
        <rFont val="Arial Narrow"/>
        <family val="2"/>
      </rPr>
      <t xml:space="preserve"> (lacking emergent vegetation during most of the growing season, and unhidden by a forest or shrub canopy) is:</t>
    </r>
  </si>
  <si>
    <r>
      <t>At the time during the growing season when the AA's water level is lowest, the average width of vegetated area</t>
    </r>
    <r>
      <rPr>
        <u/>
        <sz val="10"/>
        <color theme="0"/>
        <rFont val="Arial Narrow"/>
        <family val="2"/>
      </rPr>
      <t xml:space="preserve"> </t>
    </r>
    <r>
      <rPr>
        <b/>
        <u/>
        <sz val="10"/>
        <color theme="0"/>
        <rFont val="Arial Narrow"/>
        <family val="2"/>
      </rPr>
      <t xml:space="preserve">in </t>
    </r>
    <r>
      <rPr>
        <u/>
        <sz val="10"/>
        <color theme="0"/>
        <rFont val="Arial Narrow"/>
        <family val="2"/>
      </rPr>
      <t>the AA</t>
    </r>
    <r>
      <rPr>
        <sz val="10"/>
        <color theme="0"/>
        <rFont val="Arial Narrow"/>
        <family val="2"/>
      </rPr>
      <t xml:space="preserve"> that separates adjoining uplands from open water within the AA is:</t>
    </r>
  </si>
  <si>
    <r>
      <t xml:space="preserve">During most of the part of the growing season when water is present, the percentage of the AA's water edge length that is  </t>
    </r>
    <r>
      <rPr>
        <b/>
        <sz val="10"/>
        <color theme="0"/>
        <rFont val="Arial Narrow"/>
        <family val="2"/>
      </rPr>
      <t>nearly flat</t>
    </r>
    <r>
      <rPr>
        <sz val="10"/>
        <color theme="0"/>
        <rFont val="Arial Narrow"/>
        <family val="2"/>
      </rPr>
      <t xml:space="preserve"> (a slope less than about 5% measured within 5 m landward) is:</t>
    </r>
  </si>
  <si>
    <r>
      <t xml:space="preserve">During most of the part of the growing season when water is present, the spatial </t>
    </r>
    <r>
      <rPr>
        <b/>
        <sz val="10"/>
        <color theme="0"/>
        <rFont val="Arial Narrow"/>
        <family val="2"/>
      </rPr>
      <t xml:space="preserve">pattern </t>
    </r>
    <r>
      <rPr>
        <sz val="10"/>
        <color theme="0"/>
        <rFont val="Arial Narrow"/>
        <family val="2"/>
      </rPr>
      <t xml:space="preserve">of robust herbaceous vegetation (e.g., cattail, tall bulrush, buckbean) is </t>
    </r>
    <r>
      <rPr>
        <b/>
        <sz val="10"/>
        <color theme="0"/>
        <rFont val="Arial Narrow"/>
        <family val="2"/>
      </rPr>
      <t>mostly</t>
    </r>
    <r>
      <rPr>
        <sz val="10"/>
        <color theme="0"/>
        <rFont val="Arial Narrow"/>
        <family val="2"/>
      </rPr>
      <t>:</t>
    </r>
  </si>
  <si>
    <r>
      <t>During most of the growing season, the deepest patch of surface water (flowing or ponded) in or directly adjacent to the AA is</t>
    </r>
    <r>
      <rPr>
        <b/>
        <sz val="10"/>
        <color theme="0"/>
        <rFont val="Arial Narrow"/>
        <family val="2"/>
      </rPr>
      <t xml:space="preserve"> mostly deeper than 0.5 m.</t>
    </r>
    <r>
      <rPr>
        <sz val="10"/>
        <color theme="0"/>
        <rFont val="Arial Narrow"/>
        <family val="2"/>
      </rPr>
      <t xml:space="preserve">  If true enter "1" and continue,  If false, enter "0" and </t>
    </r>
    <r>
      <rPr>
        <b/>
        <sz val="11"/>
        <color theme="0"/>
        <rFont val="Arial Narrow"/>
        <family val="2"/>
      </rPr>
      <t xml:space="preserve">SKIP to F41 </t>
    </r>
    <r>
      <rPr>
        <sz val="10"/>
        <color theme="0"/>
        <rFont val="Arial Narrow"/>
        <family val="2"/>
      </rPr>
      <t>(Floating Algae &amp; Duckweed)</t>
    </r>
    <r>
      <rPr>
        <b/>
        <sz val="10"/>
        <color theme="0"/>
        <rFont val="Arial Narrow"/>
        <family val="2"/>
      </rPr>
      <t>.</t>
    </r>
  </si>
  <si>
    <r>
      <t xml:space="preserve">During most of the growing season and in waters deeper than 0.5 m, the cover for fish, aquatic invertebrates, and/or amphibians that is provided NOT by living vegetation, but by </t>
    </r>
    <r>
      <rPr>
        <b/>
        <sz val="10"/>
        <color theme="0"/>
        <rFont val="Arial Narrow"/>
        <family val="2"/>
      </rPr>
      <t>accumulations of dead wood and undercut banks</t>
    </r>
    <r>
      <rPr>
        <sz val="10"/>
        <color theme="0"/>
        <rFont val="Arial Narrow"/>
        <family val="2"/>
      </rPr>
      <t xml:space="preserve"> is:</t>
    </r>
  </si>
  <si>
    <r>
      <t>At least once annually, surface water from a tributary channel that is &gt;100 m long moves into the AA.  Or, surface water from a larger permanent water body that directly adjoins the AA spills into the AA.  If false (no input), enter 0 and</t>
    </r>
    <r>
      <rPr>
        <sz val="11"/>
        <color theme="0"/>
        <rFont val="Arial Narrow"/>
        <family val="2"/>
      </rPr>
      <t xml:space="preserve"> </t>
    </r>
    <r>
      <rPr>
        <b/>
        <sz val="11"/>
        <color theme="0"/>
        <rFont val="Arial Narrow"/>
        <family val="2"/>
      </rPr>
      <t>SKIP to F48</t>
    </r>
    <r>
      <rPr>
        <b/>
        <sz val="10"/>
        <color theme="0"/>
        <rFont val="Arial Narrow"/>
        <family val="2"/>
      </rPr>
      <t xml:space="preserve"> </t>
    </r>
    <r>
      <rPr>
        <sz val="10"/>
        <color theme="0"/>
        <rFont val="Arial Narrow"/>
        <family val="2"/>
      </rPr>
      <t xml:space="preserve">(Channel Connection &amp; Outflow Duration). Otherwise, enter 1 and continue. </t>
    </r>
  </si>
  <si>
    <r>
      <t xml:space="preserve">During its travel through the AA at the time of peak annual flow, water arriving in channels: [select only the ONE encountered by </t>
    </r>
    <r>
      <rPr>
        <b/>
        <sz val="10"/>
        <color theme="0"/>
        <rFont val="Arial Narrow"/>
        <family val="2"/>
      </rPr>
      <t xml:space="preserve">most </t>
    </r>
    <r>
      <rPr>
        <sz val="10"/>
        <color theme="0"/>
        <rFont val="Arial Narrow"/>
        <family val="2"/>
      </rPr>
      <t>of the incoming water].</t>
    </r>
  </si>
  <si>
    <r>
      <t xml:space="preserve">The </t>
    </r>
    <r>
      <rPr>
        <b/>
        <sz val="10"/>
        <color theme="0"/>
        <rFont val="Arial Narrow"/>
        <family val="2"/>
      </rPr>
      <t>most persistent</t>
    </r>
    <r>
      <rPr>
        <sz val="10"/>
        <color theme="0"/>
        <rFont val="Arial Narrow"/>
        <family val="2"/>
      </rPr>
      <t xml:space="preserve"> surface water connection (outlet channel or pipe, ditch, or overbank water exchange) between the AA and the closest larger water body located downslope is: [</t>
    </r>
    <r>
      <rPr>
        <u/>
        <sz val="10"/>
        <color theme="0"/>
        <rFont val="Arial Narrow"/>
        <family val="2"/>
      </rPr>
      <t>Note</t>
    </r>
    <r>
      <rPr>
        <sz val="10"/>
        <color theme="0"/>
        <rFont val="Arial Narrow"/>
        <family val="2"/>
      </rPr>
      <t>: If the AA represents only part of a wetland, answer this according to whichever is the least permanent surface connection: the one between the AA and the rest of the wetland, or the surface connection between the wetland and a mapped stream or lake located within 200 m downslope from the wetland ]</t>
    </r>
  </si>
  <si>
    <r>
      <t>During major runoff events, in the places where</t>
    </r>
    <r>
      <rPr>
        <b/>
        <sz val="10"/>
        <color theme="0"/>
        <rFont val="Arial Narrow"/>
        <family val="2"/>
      </rPr>
      <t xml:space="preserve"> surface</t>
    </r>
    <r>
      <rPr>
        <sz val="10"/>
        <color theme="0"/>
        <rFont val="Arial Narrow"/>
        <family val="2"/>
      </rPr>
      <t xml:space="preserve"> water exits the AA or connected waters nearby, it:</t>
    </r>
  </si>
  <si>
    <r>
      <t xml:space="preserve">Extending 30 m on all sides from the AA's edge,  the percentage that contains water or </t>
    </r>
    <r>
      <rPr>
        <b/>
        <sz val="10"/>
        <color theme="0"/>
        <rFont val="Arial Narrow"/>
        <family val="2"/>
        <scheme val="minor"/>
      </rPr>
      <t>perennial vegetation</t>
    </r>
    <r>
      <rPr>
        <sz val="10"/>
        <color theme="0"/>
        <rFont val="Arial Narrow"/>
        <family val="2"/>
        <scheme val="minor"/>
      </rPr>
      <t xml:space="preserve"> taller than 10 cm during most of the growing season is:</t>
    </r>
  </si>
  <si>
    <r>
      <t xml:space="preserve">From the best vantage point on public roads, public parking lots, public buildings, or well-defined public trails that intersect, adjoin, or are within 100 m of the wetland, </t>
    </r>
    <r>
      <rPr>
        <b/>
        <sz val="10"/>
        <color theme="0"/>
        <rFont val="Arial Narrow"/>
        <family val="2"/>
      </rPr>
      <t xml:space="preserve">some part </t>
    </r>
    <r>
      <rPr>
        <sz val="10"/>
        <color theme="0"/>
        <rFont val="Arial Narrow"/>
        <family val="2"/>
      </rPr>
      <t>of the AA is (select best case):</t>
    </r>
  </si>
  <si>
    <r>
      <t xml:space="preserve">Assuming access permission was granted, select </t>
    </r>
    <r>
      <rPr>
        <b/>
        <sz val="10"/>
        <color theme="0"/>
        <rFont val="Arial Narrow"/>
        <family val="2"/>
      </rPr>
      <t xml:space="preserve">ALL </t>
    </r>
    <r>
      <rPr>
        <sz val="10"/>
        <color theme="0"/>
        <rFont val="Arial Narrow"/>
        <family val="2"/>
      </rPr>
      <t>statements that are true of the AA as it currently exists:</t>
    </r>
  </si>
  <si>
    <r>
      <t xml:space="preserve">Recent </t>
    </r>
    <r>
      <rPr>
        <b/>
        <sz val="10"/>
        <color theme="0"/>
        <rFont val="Arial Narrow"/>
        <family val="2"/>
      </rPr>
      <t>evidence</t>
    </r>
    <r>
      <rPr>
        <sz val="10"/>
        <color theme="0"/>
        <rFont val="Arial Narrow"/>
        <family val="2"/>
      </rPr>
      <t xml:space="preserve"> was found within the AA of the following potentially-sustainable consumptive uses.  Select all that apply.</t>
    </r>
  </si>
  <si>
    <r>
      <t xml:space="preserve">Estimate the approximate boundaries of the wetland's catchment (CA) from a topographic map.Then adjust those boundaries if necessary based on your field observations of the surrounding terrain, and/or by using procedures described in the ABWRET Manual.  Divide the area of the wetland (not just the AA) by the approximate area of its catchment , </t>
    </r>
    <r>
      <rPr>
        <b/>
        <sz val="10"/>
        <color theme="0"/>
        <rFont val="Arial Narrow"/>
        <family val="2"/>
      </rPr>
      <t>excluding</t>
    </r>
    <r>
      <rPr>
        <sz val="10"/>
        <color theme="0"/>
        <rFont val="Arial Narrow"/>
        <family val="2"/>
      </rPr>
      <t xml:space="preserve"> the area of the wetland itself.  When doing the calculation, if ponded water adjoins the wetland, include that in the wetland's area.  The result is:</t>
    </r>
  </si>
  <si>
    <r>
      <t xml:space="preserve">   B2. </t>
    </r>
    <r>
      <rPr>
        <sz val="10"/>
        <rFont val="Arial Narrow"/>
        <family val="2"/>
      </rPr>
      <t>Not B1.  Tree &amp; tall shrubs taller than 1 m comprise</t>
    </r>
    <r>
      <rPr>
        <b/>
        <sz val="10"/>
        <rFont val="Arial Narrow"/>
        <family val="2"/>
      </rPr>
      <t xml:space="preserve"> less than </t>
    </r>
    <r>
      <rPr>
        <sz val="10"/>
        <rFont val="Arial Narrow"/>
        <family val="2"/>
      </rPr>
      <t>25% of the vegetated cover. Vegetation is mostly herbaceous, e.g., cattail, bulrush, burreed, pond lily, horsetail.  Often in depressions (potholes, created ponds), or along lakes and rivers, or where fill has blocked water movement causing prolonged flooding of wetlands formerly covered by moss.  Surface water often fluctuates widely among seasons and years.</t>
    </r>
  </si>
  <si>
    <t>Marsh or Shallow Open Water Area/All Marsh &amp; Shallow Open Water Area Within 1k</t>
  </si>
  <si>
    <r>
      <t>Mount, D.R., D.D. Gulley, J.R. Hockett, T.D. Garrison and J.M. Evans. 1997. Statistical models
to predict the toxicity of major ions to</t>
    </r>
    <r>
      <rPr>
        <i/>
        <sz val="10"/>
        <rFont val="Arial Narrow"/>
        <family val="2"/>
      </rPr>
      <t xml:space="preserve"> C. dubia, Daphnia magna</t>
    </r>
    <r>
      <rPr>
        <sz val="10"/>
        <rFont val="Arial Narrow"/>
        <family val="2"/>
      </rPr>
      <t xml:space="preserve"> and </t>
    </r>
    <r>
      <rPr>
        <i/>
        <sz val="10"/>
        <rFont val="Arial Narrow"/>
        <family val="2"/>
      </rPr>
      <t>Pimephales promelas</t>
    </r>
    <r>
      <rPr>
        <sz val="10"/>
        <rFont val="Arial Narrow"/>
        <family val="2"/>
      </rPr>
      <t xml:space="preserve">(fathead minnows). Environ. Toxicol. Chem. 16: 2009-2019. </t>
    </r>
  </si>
  <si>
    <t xml:space="preserve">Date: </t>
  </si>
  <si>
    <t xml:space="preserve">Investigator: test </t>
  </si>
  <si>
    <t>Relative Value</t>
  </si>
  <si>
    <t>0.77-0.86</t>
  </si>
  <si>
    <t>0.87-0.92</t>
  </si>
  <si>
    <t>&lt;0.77</t>
  </si>
  <si>
    <t>0.93 or &gt;</t>
  </si>
  <si>
    <t>Max Score of 102 Calibration Sites</t>
  </si>
  <si>
    <t xml:space="preserve">*The abundance factor is not applied to sites within the 5th and 95th percentiles </t>
  </si>
  <si>
    <t>Percentile</t>
  </si>
  <si>
    <t>05*</t>
  </si>
  <si>
    <t>95*</t>
  </si>
  <si>
    <t>Relative Value (a, b, c, d)</t>
  </si>
  <si>
    <t>Final Relative Value (A, B, C, D)</t>
  </si>
  <si>
    <t>d</t>
  </si>
  <si>
    <t>c</t>
  </si>
  <si>
    <t>b</t>
  </si>
  <si>
    <t>a</t>
  </si>
  <si>
    <t>Relative Value Score Ranges</t>
  </si>
  <si>
    <t>Relative Value Score (ABWRET_a)</t>
  </si>
  <si>
    <t>Relative Value Score (ABWRET-A)</t>
  </si>
  <si>
    <t>Min Score of 102 Calibration Sites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</si>
</sst>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
  </numFmts>
  <fonts count="109" x14ac:knownFonts="1">
    <font>
      <sz val="10"/>
      <name val="Times New Roman"/>
    </font>
    <font>
      <sz val="11"/>
      <color theme="1"/>
      <name val="Arial Narrow"/>
      <family val="2"/>
      <scheme val="minor"/>
    </font>
    <font>
      <sz val="11"/>
      <color theme="1"/>
      <name val="Arial Narrow"/>
      <family val="2"/>
      <scheme val="minor"/>
    </font>
    <font>
      <sz val="11"/>
      <color theme="1"/>
      <name val="Arial Narrow"/>
      <family val="2"/>
      <scheme val="minor"/>
    </font>
    <font>
      <sz val="11"/>
      <color theme="1"/>
      <name val="Arial Narrow"/>
      <family val="2"/>
      <scheme val="minor"/>
    </font>
    <font>
      <sz val="10"/>
      <color theme="1"/>
      <name val="Arial Narrow"/>
      <family val="2"/>
    </font>
    <font>
      <sz val="11"/>
      <color theme="1"/>
      <name val="Arial Narrow"/>
      <family val="2"/>
      <scheme val="minor"/>
    </font>
    <font>
      <sz val="11"/>
      <color theme="1"/>
      <name val="Arial Narrow"/>
      <family val="2"/>
      <scheme val="minor"/>
    </font>
    <font>
      <sz val="11"/>
      <color theme="1"/>
      <name val="Arial Narrow"/>
      <family val="2"/>
      <scheme val="minor"/>
    </font>
    <font>
      <sz val="11"/>
      <color theme="1"/>
      <name val="Arial Narrow"/>
      <family val="2"/>
      <scheme val="minor"/>
    </font>
    <font>
      <sz val="11"/>
      <color theme="1"/>
      <name val="Arial Narrow"/>
      <family val="2"/>
      <scheme val="minor"/>
    </font>
    <font>
      <sz val="10"/>
      <color indexed="8"/>
      <name val="Arial Narrow"/>
      <family val="2"/>
    </font>
    <font>
      <sz val="8"/>
      <name val="Times New Roman"/>
      <family val="1"/>
    </font>
    <font>
      <sz val="10"/>
      <name val="Arial"/>
      <family val="2"/>
    </font>
    <font>
      <sz val="10"/>
      <name val="Arial Narrow"/>
      <family val="2"/>
    </font>
    <font>
      <b/>
      <sz val="10"/>
      <name val="Arial Narrow"/>
      <family val="2"/>
    </font>
    <font>
      <u/>
      <sz val="10"/>
      <name val="Arial Narrow"/>
      <family val="2"/>
    </font>
    <font>
      <b/>
      <sz val="12"/>
      <name val="Arial Narrow"/>
      <family val="2"/>
    </font>
    <font>
      <sz val="10"/>
      <name val="Times New Roman"/>
      <family val="1"/>
    </font>
    <font>
      <sz val="12"/>
      <name val="Arial"/>
      <family val="2"/>
    </font>
    <font>
      <i/>
      <sz val="10"/>
      <name val="Arial Narrow"/>
      <family val="2"/>
    </font>
    <font>
      <b/>
      <sz val="16"/>
      <name val="Arial Narrow"/>
      <family val="2"/>
    </font>
    <font>
      <sz val="12"/>
      <name val="Times New Roman"/>
      <family val="1"/>
    </font>
    <font>
      <sz val="11"/>
      <name val="Calibri"/>
      <family val="2"/>
    </font>
    <font>
      <b/>
      <sz val="11"/>
      <name val="Arial Narrow"/>
      <family val="2"/>
    </font>
    <font>
      <b/>
      <sz val="11"/>
      <name val="Arial"/>
      <family val="2"/>
    </font>
    <font>
      <sz val="11"/>
      <name val="Arial"/>
      <family val="2"/>
    </font>
    <font>
      <b/>
      <i/>
      <sz val="11"/>
      <name val="Arial Narrow"/>
      <family val="2"/>
    </font>
    <font>
      <sz val="10"/>
      <color indexed="8"/>
      <name val="Arial Narrow"/>
      <family val="2"/>
    </font>
    <font>
      <sz val="8"/>
      <name val="Times New Roman"/>
      <family val="1"/>
    </font>
    <font>
      <sz val="10"/>
      <name val="Arial Narrow"/>
      <family val="2"/>
    </font>
    <font>
      <sz val="11"/>
      <name val="Arial Narrow"/>
      <family val="2"/>
    </font>
    <font>
      <sz val="10"/>
      <name val="Arial Narrow"/>
      <family val="2"/>
    </font>
    <font>
      <sz val="10"/>
      <name val="Arial Narrow"/>
      <family val="2"/>
    </font>
    <font>
      <i/>
      <sz val="10"/>
      <name val="Arial"/>
      <family val="2"/>
    </font>
    <font>
      <sz val="12"/>
      <name val="Arial Narrow"/>
      <family val="2"/>
    </font>
    <font>
      <b/>
      <sz val="10"/>
      <name val="Arial"/>
      <family val="2"/>
    </font>
    <font>
      <sz val="8"/>
      <name val="Times New Roman"/>
      <family val="1"/>
    </font>
    <font>
      <sz val="18"/>
      <name val="Times New Roman"/>
      <family val="1"/>
    </font>
    <font>
      <b/>
      <i/>
      <sz val="10"/>
      <name val="Arial Narrow"/>
      <family val="2"/>
    </font>
    <font>
      <i/>
      <sz val="10"/>
      <name val="Times New Roman"/>
      <family val="1"/>
    </font>
    <font>
      <b/>
      <sz val="13"/>
      <name val="Arial"/>
      <family val="2"/>
    </font>
    <font>
      <b/>
      <sz val="13"/>
      <name val="Arial Narrow"/>
      <family val="2"/>
    </font>
    <font>
      <b/>
      <sz val="10.5"/>
      <name val="Arial Narrow"/>
      <family val="2"/>
    </font>
    <font>
      <b/>
      <sz val="14"/>
      <name val="Arial"/>
      <family val="2"/>
    </font>
    <font>
      <sz val="10.5"/>
      <name val="Arial Narrow"/>
      <family val="2"/>
    </font>
    <font>
      <sz val="16"/>
      <name val="Arial Narrow"/>
      <family val="2"/>
    </font>
    <font>
      <sz val="10"/>
      <name val="Arial Narrow"/>
      <family val="2"/>
      <scheme val="minor"/>
    </font>
    <font>
      <sz val="10"/>
      <color rgb="FF000000"/>
      <name val="Arial Narrow"/>
      <family val="2"/>
    </font>
    <font>
      <b/>
      <sz val="12"/>
      <name val="Arial Narrow"/>
      <family val="2"/>
      <scheme val="minor"/>
    </font>
    <font>
      <i/>
      <sz val="10"/>
      <name val="Arial Narrow"/>
      <family val="2"/>
      <scheme val="minor"/>
    </font>
    <font>
      <b/>
      <sz val="10"/>
      <name val="Arial Narrow"/>
      <family val="2"/>
      <scheme val="minor"/>
    </font>
    <font>
      <sz val="10.5"/>
      <name val="Arial Narrow"/>
      <family val="2"/>
      <scheme val="minor"/>
    </font>
    <font>
      <sz val="11"/>
      <name val="Arial Narrow"/>
      <family val="2"/>
      <scheme val="minor"/>
    </font>
    <font>
      <sz val="10"/>
      <name val="Arial Narrow"/>
      <family val="2"/>
      <charset val="1"/>
    </font>
    <font>
      <sz val="10"/>
      <name val="Times New Roman"/>
      <family val="1"/>
      <charset val="1"/>
    </font>
    <font>
      <b/>
      <sz val="16"/>
      <name val="Arial"/>
      <family val="2"/>
    </font>
    <font>
      <sz val="10"/>
      <color rgb="FF000000"/>
      <name val="Times New Roman"/>
      <family val="1"/>
    </font>
    <font>
      <b/>
      <sz val="10"/>
      <name val="Times New Roman"/>
      <family val="1"/>
    </font>
    <font>
      <sz val="11"/>
      <color theme="0"/>
      <name val="Arial Narrow"/>
      <family val="2"/>
      <scheme val="minor"/>
    </font>
    <font>
      <sz val="10"/>
      <color theme="0"/>
      <name val="Times New Roman"/>
      <family val="1"/>
    </font>
    <font>
      <b/>
      <sz val="11"/>
      <color theme="0"/>
      <name val="Arial Narrow"/>
      <family val="2"/>
      <scheme val="minor"/>
    </font>
    <font>
      <sz val="12"/>
      <color theme="0"/>
      <name val="Arial"/>
      <family val="2"/>
    </font>
    <font>
      <i/>
      <sz val="10"/>
      <color theme="0"/>
      <name val="Arial"/>
      <family val="2"/>
    </font>
    <font>
      <i/>
      <sz val="10"/>
      <color theme="0"/>
      <name val="Arial Narrow"/>
      <family val="2"/>
    </font>
    <font>
      <sz val="10"/>
      <color theme="0"/>
      <name val="Arial"/>
      <family val="2"/>
    </font>
    <font>
      <i/>
      <sz val="11"/>
      <color theme="0"/>
      <name val="Times New Roman"/>
      <family val="1"/>
    </font>
    <font>
      <b/>
      <sz val="12"/>
      <color theme="0"/>
      <name val="Arial"/>
      <family val="2"/>
    </font>
    <font>
      <i/>
      <sz val="11"/>
      <color theme="0"/>
      <name val="Arial Narrow"/>
      <family val="2"/>
      <scheme val="minor"/>
    </font>
    <font>
      <sz val="12"/>
      <color theme="0"/>
      <name val="Times New Roman"/>
      <family val="1"/>
    </font>
    <font>
      <b/>
      <sz val="10"/>
      <color theme="0"/>
      <name val="Arial Narrow"/>
      <family val="2"/>
      <scheme val="minor"/>
    </font>
    <font>
      <b/>
      <sz val="11"/>
      <color theme="1"/>
      <name val="Arial Narrow"/>
      <family val="2"/>
      <scheme val="minor"/>
    </font>
    <font>
      <strike/>
      <sz val="10"/>
      <name val="Arial Narrow"/>
      <family val="2"/>
    </font>
    <font>
      <u/>
      <sz val="10"/>
      <name val="Arial Narrow"/>
      <family val="2"/>
      <scheme val="minor"/>
    </font>
    <font>
      <b/>
      <sz val="11"/>
      <name val="Arial Narrow"/>
      <family val="2"/>
      <scheme val="minor"/>
    </font>
    <font>
      <sz val="11"/>
      <color rgb="FF000000"/>
      <name val="Calibri"/>
      <family val="2"/>
    </font>
    <font>
      <sz val="16"/>
      <name val="Times New Roman"/>
      <family val="1"/>
    </font>
    <font>
      <sz val="16"/>
      <name val="Arial"/>
      <family val="2"/>
    </font>
    <font>
      <b/>
      <i/>
      <sz val="12"/>
      <name val="Arial Narrow"/>
      <family val="2"/>
    </font>
    <font>
      <sz val="10"/>
      <name val="Calibri"/>
      <family val="2"/>
    </font>
    <font>
      <b/>
      <sz val="10"/>
      <name val="Calibri"/>
      <family val="2"/>
    </font>
    <font>
      <b/>
      <sz val="10"/>
      <color rgb="FF000000"/>
      <name val="Arial Narrow"/>
      <family val="2"/>
    </font>
    <font>
      <b/>
      <sz val="16"/>
      <color rgb="FF000000"/>
      <name val="Arial"/>
      <family val="2"/>
    </font>
    <font>
      <b/>
      <sz val="12"/>
      <color rgb="FF000000"/>
      <name val="Arial"/>
      <family val="2"/>
    </font>
    <font>
      <i/>
      <sz val="10"/>
      <color rgb="FF000000"/>
      <name val="Arial Narrow"/>
      <family val="2"/>
    </font>
    <font>
      <b/>
      <i/>
      <sz val="10"/>
      <color rgb="FF000000"/>
      <name val="Arial Narrow"/>
      <family val="2"/>
    </font>
    <font>
      <i/>
      <sz val="10"/>
      <color rgb="FF000000"/>
      <name val="Times New Roman"/>
      <family val="1"/>
    </font>
    <font>
      <sz val="11"/>
      <color rgb="FF000000"/>
      <name val="Arial Narrow"/>
      <family val="2"/>
    </font>
    <font>
      <sz val="10"/>
      <color rgb="FF000000"/>
      <name val="Arial"/>
      <family val="2"/>
    </font>
    <font>
      <b/>
      <i/>
      <sz val="12"/>
      <color rgb="FF000000"/>
      <name val="Arial"/>
      <family val="2"/>
    </font>
    <font>
      <b/>
      <sz val="10"/>
      <color rgb="FF000000"/>
      <name val="Times New Roman"/>
      <family val="1"/>
    </font>
    <font>
      <b/>
      <sz val="9"/>
      <color rgb="FFFF0000"/>
      <name val="Calibri"/>
      <family val="2"/>
    </font>
    <font>
      <b/>
      <sz val="9"/>
      <color rgb="FFFF0000"/>
      <name val="Arial Narrow"/>
      <family val="2"/>
    </font>
    <font>
      <b/>
      <sz val="10"/>
      <color rgb="FFFF0000"/>
      <name val="Arial Narrow"/>
      <family val="2"/>
    </font>
    <font>
      <strike/>
      <sz val="10"/>
      <color rgb="FFFF6600"/>
      <name val="Arial Narrow"/>
      <family val="2"/>
    </font>
    <font>
      <strike/>
      <sz val="10"/>
      <color rgb="FFFF0000"/>
      <name val="Arial Narrow"/>
      <family val="2"/>
      <scheme val="minor"/>
    </font>
    <font>
      <strike/>
      <sz val="10"/>
      <color rgb="FF0070C0"/>
      <name val="Arial Narrow"/>
      <family val="2"/>
    </font>
    <font>
      <b/>
      <sz val="14"/>
      <color rgb="FF000000"/>
      <name val="Arial Narrow"/>
      <family val="2"/>
    </font>
    <font>
      <b/>
      <sz val="14"/>
      <color rgb="FF000000"/>
      <name val="Times New Roman"/>
      <family val="1"/>
    </font>
    <font>
      <b/>
      <sz val="14"/>
      <name val="Arial Narrow"/>
      <family val="2"/>
    </font>
    <font>
      <sz val="10"/>
      <color theme="0"/>
      <name val="Arial Narrow"/>
      <family val="2"/>
    </font>
    <font>
      <b/>
      <sz val="10"/>
      <color theme="0"/>
      <name val="Arial Narrow"/>
      <family val="2"/>
    </font>
    <font>
      <b/>
      <sz val="11"/>
      <color theme="0"/>
      <name val="Arial Narrow"/>
      <family val="2"/>
    </font>
    <font>
      <b/>
      <sz val="12"/>
      <color theme="0"/>
      <name val="Arial Narrow"/>
      <family val="2"/>
    </font>
    <font>
      <u/>
      <sz val="10"/>
      <color theme="0"/>
      <name val="Arial Narrow"/>
      <family val="2"/>
    </font>
    <font>
      <b/>
      <u/>
      <sz val="10"/>
      <color theme="0"/>
      <name val="Arial Narrow"/>
      <family val="2"/>
    </font>
    <font>
      <sz val="11"/>
      <color theme="0"/>
      <name val="Arial Narrow"/>
      <family val="2"/>
    </font>
    <font>
      <sz val="10"/>
      <color theme="0"/>
      <name val="Arial Narrow"/>
      <family val="2"/>
      <scheme val="minor"/>
    </font>
    <font>
      <sz val="9"/>
      <name val="Times New Roman"/>
      <family val="1"/>
    </font>
  </fonts>
  <fills count="26">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00FF00"/>
        <bgColor indexed="64"/>
      </patternFill>
    </fill>
    <fill>
      <patternFill patternType="solid">
        <fgColor rgb="FF66FF33"/>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indexed="22"/>
        <bgColor indexed="44"/>
      </patternFill>
    </fill>
    <fill>
      <patternFill patternType="solid">
        <fgColor indexed="55"/>
        <bgColor indexed="23"/>
      </patternFill>
    </fill>
    <fill>
      <patternFill patternType="solid">
        <fgColor theme="9"/>
        <bgColor indexed="64"/>
      </patternFill>
    </fill>
    <fill>
      <patternFill patternType="solid">
        <fgColor rgb="FF00FFFF"/>
        <bgColor indexed="64"/>
      </patternFill>
    </fill>
    <fill>
      <patternFill patternType="solid">
        <fgColor rgb="FFDA9694"/>
        <bgColor indexed="64"/>
      </patternFill>
    </fill>
    <fill>
      <patternFill patternType="solid">
        <fgColor rgb="FFDA96FF"/>
        <bgColor indexed="64"/>
      </patternFill>
    </fill>
    <fill>
      <patternFill patternType="solid">
        <fgColor rgb="FFFF33CC"/>
        <bgColor indexed="64"/>
      </patternFill>
    </fill>
    <fill>
      <patternFill patternType="solid">
        <fgColor rgb="FFFFB9DC"/>
        <bgColor indexed="64"/>
      </patternFill>
    </fill>
    <fill>
      <patternFill patternType="solid">
        <fgColor rgb="FF72A2DC"/>
        <bgColor indexed="64"/>
      </patternFill>
    </fill>
    <fill>
      <patternFill patternType="solid">
        <fgColor rgb="FFFFFF53"/>
        <bgColor indexed="64"/>
      </patternFill>
    </fill>
    <fill>
      <patternFill patternType="solid">
        <fgColor rgb="FF797453"/>
        <bgColor indexed="64"/>
      </patternFill>
    </fill>
    <fill>
      <patternFill patternType="solid">
        <fgColor theme="0" tint="-4.9989318521683403E-2"/>
        <bgColor indexed="64"/>
      </patternFill>
    </fill>
  </fills>
  <borders count="1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auto="1"/>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indexed="64"/>
      </right>
      <top style="medium">
        <color auto="1"/>
      </top>
      <bottom style="thin">
        <color auto="1"/>
      </bottom>
      <diagonal/>
    </border>
    <border>
      <left style="medium">
        <color auto="1"/>
      </left>
      <right style="thin">
        <color auto="1"/>
      </right>
      <top style="thin">
        <color auto="1"/>
      </top>
      <bottom style="thin">
        <color auto="1"/>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auto="1"/>
      </top>
      <bottom style="thin">
        <color auto="1"/>
      </bottom>
      <diagonal/>
    </border>
    <border>
      <left/>
      <right style="thin">
        <color indexed="64"/>
      </right>
      <top style="medium">
        <color auto="1"/>
      </top>
      <bottom style="thin">
        <color auto="1"/>
      </bottom>
      <diagonal/>
    </border>
    <border>
      <left/>
      <right style="thin">
        <color indexed="64"/>
      </right>
      <top/>
      <bottom style="thin">
        <color auto="1"/>
      </bottom>
      <diagonal/>
    </border>
    <border>
      <left/>
      <right/>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style="thin">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indexed="64"/>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indexed="64"/>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indexed="64"/>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s>
  <cellStyleXfs count="149">
    <xf numFmtId="0" fontId="0" fillId="0" borderId="0">
      <alignment vertical="top"/>
    </xf>
    <xf numFmtId="0" fontId="18" fillId="0" borderId="0">
      <alignment vertical="top"/>
    </xf>
    <xf numFmtId="0" fontId="18" fillId="0" borderId="0">
      <alignment vertical="top"/>
    </xf>
    <xf numFmtId="0" fontId="10" fillId="0" borderId="0"/>
    <xf numFmtId="0" fontId="9"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1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60">
    <xf numFmtId="0" fontId="0" fillId="0" borderId="0" xfId="0">
      <alignment vertical="top"/>
    </xf>
    <xf numFmtId="0" fontId="14" fillId="0" borderId="0" xfId="0" applyFont="1" applyAlignment="1">
      <alignment wrapText="1"/>
    </xf>
    <xf numFmtId="0" fontId="14" fillId="0" borderId="0" xfId="0" applyFont="1">
      <alignment vertical="top"/>
    </xf>
    <xf numFmtId="0" fontId="14" fillId="0" borderId="0" xfId="0" applyFont="1" applyBorder="1" applyAlignment="1">
      <alignment vertical="top" wrapText="1"/>
    </xf>
    <xf numFmtId="0" fontId="14" fillId="0" borderId="4" xfId="0" applyFont="1" applyFill="1" applyBorder="1" applyAlignment="1">
      <alignment vertical="top" wrapText="1"/>
    </xf>
    <xf numFmtId="0" fontId="14" fillId="0" borderId="0" xfId="0" applyFont="1" applyAlignment="1">
      <alignment vertical="top" wrapText="1"/>
    </xf>
    <xf numFmtId="0" fontId="14" fillId="0" borderId="0" xfId="0" applyFont="1" applyFill="1" applyAlignment="1">
      <alignment vertical="top" wrapText="1"/>
    </xf>
    <xf numFmtId="0" fontId="13" fillId="0" borderId="0" xfId="0" applyFont="1" applyFill="1" applyBorder="1">
      <alignment vertical="top"/>
    </xf>
    <xf numFmtId="0" fontId="14" fillId="0" borderId="0" xfId="0" applyFont="1" applyFill="1">
      <alignment vertical="top"/>
    </xf>
    <xf numFmtId="0" fontId="13" fillId="0" borderId="0" xfId="0" applyFont="1" applyFill="1">
      <alignment vertical="top"/>
    </xf>
    <xf numFmtId="0" fontId="14" fillId="0" borderId="0" xfId="0" applyNumberFormat="1" applyFont="1" applyBorder="1" applyAlignment="1">
      <alignment vertical="top" wrapText="1"/>
    </xf>
    <xf numFmtId="0" fontId="14" fillId="0" borderId="0" xfId="0" applyFont="1" applyAlignment="1">
      <alignment vertical="top"/>
    </xf>
    <xf numFmtId="0" fontId="14" fillId="0" borderId="0" xfId="0" applyFont="1" applyFill="1" applyAlignment="1">
      <alignment vertical="top"/>
    </xf>
    <xf numFmtId="0" fontId="14" fillId="0" borderId="0" xfId="0" applyFont="1" applyFill="1" applyBorder="1" applyAlignment="1">
      <alignment vertical="top"/>
    </xf>
    <xf numFmtId="49" fontId="14" fillId="0" borderId="0" xfId="0" applyNumberFormat="1" applyFont="1" applyBorder="1" applyAlignment="1">
      <alignment vertical="top" wrapText="1"/>
    </xf>
    <xf numFmtId="0" fontId="14" fillId="0" borderId="0" xfId="0" applyFont="1" applyBorder="1" applyAlignment="1">
      <alignment vertical="top"/>
    </xf>
    <xf numFmtId="0" fontId="14" fillId="0" borderId="1" xfId="0" applyFont="1" applyBorder="1" applyAlignment="1">
      <alignment vertical="top"/>
    </xf>
    <xf numFmtId="0" fontId="14" fillId="0" borderId="1" xfId="0" applyFont="1" applyFill="1" applyBorder="1" applyAlignment="1">
      <alignment vertical="top"/>
    </xf>
    <xf numFmtId="0" fontId="14" fillId="0" borderId="5" xfId="0" applyFont="1" applyBorder="1" applyAlignment="1">
      <alignment vertical="top"/>
    </xf>
    <xf numFmtId="0" fontId="14" fillId="0" borderId="0" xfId="0" applyFont="1" applyFill="1" applyAlignment="1">
      <alignment horizontal="left" vertical="top" wrapText="1"/>
    </xf>
    <xf numFmtId="0" fontId="14" fillId="0" borderId="5" xfId="0" applyFont="1" applyFill="1" applyBorder="1" applyAlignment="1">
      <alignment vertical="top"/>
    </xf>
    <xf numFmtId="0" fontId="14" fillId="0" borderId="0" xfId="0" applyNumberFormat="1" applyFont="1" applyFill="1" applyBorder="1" applyAlignment="1">
      <alignment vertical="top" wrapText="1"/>
    </xf>
    <xf numFmtId="0" fontId="14" fillId="0" borderId="2" xfId="0" applyFont="1" applyBorder="1" applyAlignment="1">
      <alignment horizontal="center" vertical="top" wrapText="1"/>
    </xf>
    <xf numFmtId="0" fontId="14" fillId="0" borderId="11" xfId="0" applyFont="1" applyFill="1" applyBorder="1" applyAlignment="1">
      <alignment vertical="top" wrapText="1"/>
    </xf>
    <xf numFmtId="0" fontId="14" fillId="0" borderId="0" xfId="1" applyFont="1" applyAlignment="1">
      <alignment vertical="top"/>
    </xf>
    <xf numFmtId="0" fontId="14" fillId="0" borderId="0" xfId="0" applyFont="1" applyAlignment="1">
      <alignment horizontal="left" vertical="top" wrapText="1"/>
    </xf>
    <xf numFmtId="0" fontId="18" fillId="0" borderId="0" xfId="1" applyFont="1" applyAlignment="1" applyProtection="1">
      <alignment vertical="top"/>
      <protection locked="0"/>
    </xf>
    <xf numFmtId="0" fontId="18" fillId="0" borderId="0" xfId="1" applyFont="1" applyAlignment="1">
      <alignment vertical="top"/>
    </xf>
    <xf numFmtId="0" fontId="13" fillId="0" borderId="0" xfId="0" applyFont="1" applyFill="1" applyBorder="1" applyAlignment="1">
      <alignment vertical="top" wrapText="1"/>
    </xf>
    <xf numFmtId="0" fontId="18" fillId="0" borderId="0" xfId="0" applyFont="1" applyFill="1" applyBorder="1">
      <alignment vertical="top"/>
    </xf>
    <xf numFmtId="0" fontId="22" fillId="0" borderId="0" xfId="0" applyFont="1" applyFill="1" applyBorder="1" applyAlignment="1">
      <alignment vertical="top" wrapText="1"/>
    </xf>
    <xf numFmtId="0" fontId="30" fillId="0" borderId="0" xfId="0" applyFont="1" applyAlignment="1">
      <alignment vertical="top" wrapText="1"/>
    </xf>
    <xf numFmtId="0" fontId="30" fillId="0" borderId="0" xfId="0" applyFont="1" applyFill="1" applyBorder="1" applyAlignment="1">
      <alignment vertical="top" wrapText="1"/>
    </xf>
    <xf numFmtId="0" fontId="32" fillId="0" borderId="0" xfId="0" applyFont="1">
      <alignment vertical="top"/>
    </xf>
    <xf numFmtId="0" fontId="32" fillId="0" borderId="0" xfId="0" applyFont="1" applyFill="1">
      <alignment vertical="top"/>
    </xf>
    <xf numFmtId="0" fontId="32" fillId="0" borderId="0" xfId="0" applyFont="1" applyAlignment="1">
      <alignment vertical="top" wrapText="1"/>
    </xf>
    <xf numFmtId="0" fontId="33" fillId="0" borderId="0" xfId="0" applyFont="1" applyAlignment="1">
      <alignment vertical="top" wrapText="1"/>
    </xf>
    <xf numFmtId="0" fontId="33" fillId="0" borderId="0" xfId="0" applyFont="1" applyFill="1" applyBorder="1" applyAlignment="1">
      <alignment vertical="top" wrapText="1"/>
    </xf>
    <xf numFmtId="0" fontId="33" fillId="0" borderId="0" xfId="0" applyFont="1" applyFill="1" applyAlignment="1">
      <alignment vertical="top" wrapText="1"/>
    </xf>
    <xf numFmtId="0" fontId="14" fillId="0" borderId="0" xfId="0" applyFont="1" applyFill="1" applyAlignment="1">
      <alignment horizontal="left" vertical="top"/>
    </xf>
    <xf numFmtId="0" fontId="14" fillId="0" borderId="1" xfId="0" applyFont="1" applyBorder="1" applyAlignment="1">
      <alignment horizontal="center" vertical="top" wrapText="1"/>
    </xf>
    <xf numFmtId="0" fontId="14" fillId="2" borderId="2" xfId="0" applyFont="1" applyFill="1" applyBorder="1" applyAlignment="1">
      <alignment horizontal="center" vertical="top" wrapText="1"/>
    </xf>
    <xf numFmtId="0" fontId="14" fillId="2" borderId="1" xfId="0" applyFont="1" applyFill="1" applyBorder="1" applyAlignment="1">
      <alignment horizontal="center" vertical="top" wrapText="1"/>
    </xf>
    <xf numFmtId="0" fontId="14" fillId="0" borderId="4" xfId="0" applyFont="1" applyFill="1" applyBorder="1" applyAlignment="1">
      <alignment horizontal="left" vertical="top" wrapText="1"/>
    </xf>
    <xf numFmtId="0" fontId="14" fillId="0" borderId="0" xfId="0" applyFont="1" applyAlignment="1">
      <alignment horizontal="center" wrapText="1"/>
    </xf>
    <xf numFmtId="0" fontId="14" fillId="2" borderId="8" xfId="0" applyFont="1" applyFill="1" applyBorder="1" applyAlignment="1">
      <alignment horizontal="center" vertical="top" wrapText="1"/>
    </xf>
    <xf numFmtId="2" fontId="13" fillId="0" borderId="0" xfId="0" applyNumberFormat="1" applyFont="1" applyFill="1" applyAlignment="1">
      <alignment horizontal="center"/>
    </xf>
    <xf numFmtId="164" fontId="13" fillId="0" borderId="0" xfId="0" applyNumberFormat="1" applyFont="1" applyFill="1" applyBorder="1" applyAlignment="1" applyProtection="1">
      <alignment horizontal="center" vertical="top" wrapText="1"/>
      <protection locked="0"/>
    </xf>
    <xf numFmtId="164" fontId="0" fillId="0" borderId="0" xfId="0" applyNumberFormat="1" applyBorder="1" applyAlignment="1" applyProtection="1">
      <alignment horizontal="center" vertical="top" wrapText="1"/>
      <protection locked="0"/>
    </xf>
    <xf numFmtId="0" fontId="34" fillId="0" borderId="0" xfId="0" applyFont="1" applyBorder="1" applyAlignment="1">
      <alignment horizontal="left" vertical="center" wrapText="1"/>
    </xf>
    <xf numFmtId="0" fontId="34" fillId="0" borderId="13" xfId="0" applyFont="1" applyBorder="1" applyAlignment="1">
      <alignment horizontal="left" vertical="center" wrapText="1"/>
    </xf>
    <xf numFmtId="2" fontId="13" fillId="0" borderId="0" xfId="0" applyNumberFormat="1" applyFont="1" applyFill="1">
      <alignment vertical="top"/>
    </xf>
    <xf numFmtId="2" fontId="34" fillId="0" borderId="0" xfId="0" applyNumberFormat="1" applyFont="1" applyBorder="1" applyAlignment="1">
      <alignment horizontal="left" vertical="center" wrapText="1"/>
    </xf>
    <xf numFmtId="2" fontId="34" fillId="0" borderId="0" xfId="0" applyNumberFormat="1" applyFont="1" applyBorder="1" applyAlignment="1">
      <alignment vertical="center" wrapText="1"/>
    </xf>
    <xf numFmtId="2" fontId="13" fillId="0" borderId="0" xfId="0" applyNumberFormat="1" applyFont="1" applyBorder="1" applyAlignment="1" applyProtection="1">
      <alignment horizontal="center" vertical="top" wrapText="1"/>
      <protection locked="0"/>
    </xf>
    <xf numFmtId="2" fontId="13" fillId="0" borderId="0" xfId="0" applyNumberFormat="1" applyFont="1" applyBorder="1" applyAlignment="1" applyProtection="1">
      <alignment vertical="top" wrapText="1"/>
      <protection locked="0"/>
    </xf>
    <xf numFmtId="2" fontId="13" fillId="0" borderId="0" xfId="0" applyNumberFormat="1" applyFont="1" applyBorder="1" applyAlignment="1" applyProtection="1">
      <alignment horizontal="left" vertical="top" wrapText="1"/>
      <protection locked="0"/>
    </xf>
    <xf numFmtId="0" fontId="14" fillId="0" borderId="30" xfId="0" applyFont="1" applyFill="1" applyBorder="1" applyAlignment="1">
      <alignment horizontal="left" vertical="top" wrapText="1"/>
    </xf>
    <xf numFmtId="0" fontId="14" fillId="0" borderId="0" xfId="0" applyFont="1" applyFill="1" applyBorder="1" applyAlignment="1">
      <alignment horizontal="left" vertical="top"/>
    </xf>
    <xf numFmtId="0" fontId="19" fillId="4" borderId="4" xfId="0" applyFont="1" applyFill="1" applyBorder="1" applyAlignment="1">
      <alignment vertical="top" wrapText="1"/>
    </xf>
    <xf numFmtId="0" fontId="19" fillId="4" borderId="20" xfId="0" applyFont="1" applyFill="1" applyBorder="1" applyAlignment="1">
      <alignment vertical="top" wrapText="1"/>
    </xf>
    <xf numFmtId="0" fontId="35" fillId="0" borderId="0" xfId="0" applyFont="1" applyFill="1" applyAlignment="1">
      <alignment vertical="top"/>
    </xf>
    <xf numFmtId="0" fontId="35" fillId="0" borderId="0" xfId="0" applyFont="1" applyAlignment="1">
      <alignment vertical="top" wrapText="1"/>
    </xf>
    <xf numFmtId="0" fontId="35" fillId="0" borderId="0" xfId="0" applyFont="1" applyFill="1" applyBorder="1" applyAlignment="1">
      <alignment vertical="top"/>
    </xf>
    <xf numFmtId="0" fontId="35" fillId="0" borderId="0" xfId="0" applyFont="1">
      <alignment vertical="top"/>
    </xf>
    <xf numFmtId="0" fontId="35" fillId="0" borderId="0" xfId="0" applyFont="1" applyAlignment="1">
      <alignment wrapText="1"/>
    </xf>
    <xf numFmtId="0" fontId="18" fillId="0" borderId="0" xfId="1" applyFont="1" applyAlignment="1">
      <alignment vertical="center"/>
    </xf>
    <xf numFmtId="49" fontId="11" fillId="6" borderId="4" xfId="1" applyNumberFormat="1" applyFont="1" applyFill="1" applyBorder="1" applyAlignment="1">
      <alignment horizontal="center" vertical="center" wrapText="1"/>
    </xf>
    <xf numFmtId="0" fontId="14" fillId="0" borderId="0" xfId="1" applyFont="1" applyAlignment="1">
      <alignment vertical="center"/>
    </xf>
    <xf numFmtId="0" fontId="14" fillId="0" borderId="0" xfId="0" applyFont="1" applyFill="1" applyAlignment="1">
      <alignment horizontal="center" vertical="center"/>
    </xf>
    <xf numFmtId="0" fontId="38" fillId="0" borderId="0" xfId="1" applyFont="1" applyAlignment="1">
      <alignment vertical="top"/>
    </xf>
    <xf numFmtId="0" fontId="31" fillId="0" borderId="0" xfId="0" applyFont="1" applyAlignment="1">
      <alignment vertical="top" wrapText="1"/>
    </xf>
    <xf numFmtId="1" fontId="42" fillId="0" borderId="4" xfId="0" applyNumberFormat="1" applyFont="1" applyBorder="1" applyAlignment="1">
      <alignment horizontal="center" vertical="top" wrapText="1"/>
    </xf>
    <xf numFmtId="1" fontId="42" fillId="0" borderId="20" xfId="0" applyNumberFormat="1" applyFont="1" applyBorder="1" applyAlignment="1">
      <alignment horizontal="center" vertical="top"/>
    </xf>
    <xf numFmtId="0" fontId="42" fillId="4" borderId="20" xfId="0" applyFont="1" applyFill="1" applyBorder="1" applyAlignment="1">
      <alignment horizontal="center" vertical="top" wrapText="1"/>
    </xf>
    <xf numFmtId="1" fontId="42" fillId="0" borderId="20" xfId="0" applyNumberFormat="1" applyFont="1" applyBorder="1" applyAlignment="1">
      <alignment horizontal="center" vertical="top" wrapText="1"/>
    </xf>
    <xf numFmtId="0" fontId="31" fillId="0" borderId="0" xfId="0" applyFont="1" applyFill="1" applyAlignment="1">
      <alignment vertical="top" wrapText="1"/>
    </xf>
    <xf numFmtId="0" fontId="14" fillId="0" borderId="4" xfId="0" applyFont="1" applyBorder="1" applyAlignment="1">
      <alignment horizontal="left" vertical="top" wrapText="1"/>
    </xf>
    <xf numFmtId="0" fontId="14" fillId="0" borderId="37" xfId="0" applyFont="1" applyBorder="1" applyAlignment="1">
      <alignment horizontal="left" vertical="top" wrapText="1"/>
    </xf>
    <xf numFmtId="0" fontId="31" fillId="0" borderId="0" xfId="0" applyFont="1" applyBorder="1" applyAlignment="1">
      <alignment vertical="top" wrapText="1"/>
    </xf>
    <xf numFmtId="0" fontId="31" fillId="0" borderId="0" xfId="0" applyFont="1" applyFill="1" applyBorder="1" applyAlignment="1">
      <alignment vertical="top" wrapText="1"/>
    </xf>
    <xf numFmtId="0" fontId="14" fillId="0" borderId="43" xfId="0" applyFont="1" applyBorder="1" applyAlignment="1">
      <alignment horizontal="center" vertical="top" wrapText="1"/>
    </xf>
    <xf numFmtId="0" fontId="14" fillId="0" borderId="44" xfId="0" applyFont="1" applyFill="1" applyBorder="1" applyAlignment="1">
      <alignment vertical="top" wrapText="1"/>
    </xf>
    <xf numFmtId="0" fontId="14" fillId="0" borderId="37" xfId="0" applyFont="1" applyBorder="1" applyAlignment="1">
      <alignment vertical="top" wrapText="1"/>
    </xf>
    <xf numFmtId="0" fontId="14" fillId="2" borderId="11" xfId="0" applyFont="1" applyFill="1" applyBorder="1" applyAlignment="1">
      <alignment horizontal="center" vertical="top" wrapText="1"/>
    </xf>
    <xf numFmtId="0" fontId="14" fillId="0" borderId="47" xfId="0" applyNumberFormat="1" applyFont="1" applyBorder="1" applyAlignment="1">
      <alignment vertical="top" wrapText="1"/>
    </xf>
    <xf numFmtId="0" fontId="14" fillId="2" borderId="54" xfId="0" applyFont="1" applyFill="1" applyBorder="1" applyAlignment="1">
      <alignment horizontal="center" vertical="top" wrapText="1"/>
    </xf>
    <xf numFmtId="0" fontId="14" fillId="2" borderId="55" xfId="0" applyFont="1" applyFill="1" applyBorder="1" applyAlignment="1">
      <alignment horizontal="center" vertical="top" wrapText="1"/>
    </xf>
    <xf numFmtId="0" fontId="14" fillId="2" borderId="43" xfId="0" applyFont="1" applyFill="1" applyBorder="1" applyAlignment="1">
      <alignment horizontal="center" vertical="top" wrapText="1"/>
    </xf>
    <xf numFmtId="0" fontId="14" fillId="2" borderId="6" xfId="0" applyFont="1" applyFill="1" applyBorder="1" applyAlignment="1">
      <alignment horizontal="center" vertical="top" wrapText="1"/>
    </xf>
    <xf numFmtId="0" fontId="14" fillId="0" borderId="41" xfId="0" applyFont="1" applyFill="1" applyBorder="1" applyAlignment="1">
      <alignment vertical="top" wrapText="1"/>
    </xf>
    <xf numFmtId="0" fontId="14" fillId="0" borderId="1" xfId="0" applyFont="1" applyFill="1" applyBorder="1" applyAlignment="1">
      <alignment horizontal="center" vertical="top" wrapText="1"/>
    </xf>
    <xf numFmtId="1" fontId="14" fillId="0" borderId="1" xfId="0" applyNumberFormat="1" applyFont="1" applyBorder="1" applyAlignment="1">
      <alignment horizontal="center" vertical="top" wrapText="1"/>
    </xf>
    <xf numFmtId="49" fontId="28" fillId="8" borderId="4" xfId="1" applyNumberFormat="1" applyFont="1" applyFill="1" applyBorder="1" applyAlignment="1">
      <alignment horizontal="right" vertical="center" wrapText="1"/>
    </xf>
    <xf numFmtId="0" fontId="14" fillId="0" borderId="43" xfId="0" applyFont="1" applyFill="1" applyBorder="1" applyAlignment="1">
      <alignment horizontal="center" vertical="top" wrapText="1"/>
    </xf>
    <xf numFmtId="49" fontId="11" fillId="0" borderId="18" xfId="1" applyNumberFormat="1" applyFont="1" applyBorder="1" applyAlignment="1">
      <alignment horizontal="center" vertical="center" wrapText="1"/>
    </xf>
    <xf numFmtId="1" fontId="18" fillId="7" borderId="4" xfId="1" applyNumberFormat="1" applyFont="1" applyFill="1" applyBorder="1" applyAlignment="1">
      <alignment horizontal="center" vertical="center"/>
    </xf>
    <xf numFmtId="49" fontId="11" fillId="0" borderId="21" xfId="1" applyNumberFormat="1" applyFont="1" applyBorder="1" applyAlignment="1">
      <alignment horizontal="center" vertical="center" wrapText="1"/>
    </xf>
    <xf numFmtId="49" fontId="18" fillId="0" borderId="27" xfId="1" applyNumberFormat="1" applyFont="1" applyBorder="1" applyAlignment="1">
      <alignment vertical="center"/>
    </xf>
    <xf numFmtId="0" fontId="14" fillId="0" borderId="47" xfId="0" applyFont="1" applyBorder="1" applyAlignment="1">
      <alignment vertical="top" wrapText="1"/>
    </xf>
    <xf numFmtId="1" fontId="42" fillId="0" borderId="4" xfId="0" applyNumberFormat="1" applyFont="1" applyBorder="1" applyAlignment="1">
      <alignment horizontal="center" vertical="top"/>
    </xf>
    <xf numFmtId="0" fontId="14" fillId="0" borderId="2" xfId="0" applyFont="1" applyFill="1" applyBorder="1" applyAlignment="1">
      <alignment horizontal="center" vertical="top" wrapText="1"/>
    </xf>
    <xf numFmtId="1" fontId="14" fillId="0" borderId="43" xfId="0" applyNumberFormat="1" applyFont="1" applyBorder="1" applyAlignment="1">
      <alignment horizontal="center" vertical="top" wrapText="1"/>
    </xf>
    <xf numFmtId="0" fontId="46" fillId="0" borderId="0" xfId="0" applyFont="1" applyFill="1" applyAlignment="1">
      <alignment horizontal="left" vertical="top"/>
    </xf>
    <xf numFmtId="0" fontId="14" fillId="0" borderId="41" xfId="0" applyFont="1" applyBorder="1" applyAlignment="1">
      <alignment vertical="top" wrapText="1"/>
    </xf>
    <xf numFmtId="0" fontId="14" fillId="2" borderId="51" xfId="0" applyFont="1" applyFill="1" applyBorder="1" applyAlignment="1">
      <alignment horizontal="center" vertical="top" wrapText="1"/>
    </xf>
    <xf numFmtId="0" fontId="14" fillId="0" borderId="24" xfId="0" applyFont="1" applyFill="1" applyBorder="1" applyAlignment="1">
      <alignment vertical="top" wrapText="1"/>
    </xf>
    <xf numFmtId="0" fontId="43" fillId="0" borderId="0" xfId="0" applyFont="1" applyFill="1" applyAlignment="1">
      <alignment vertical="top" wrapText="1"/>
    </xf>
    <xf numFmtId="0" fontId="43" fillId="0" borderId="0" xfId="0" applyFont="1" applyAlignment="1">
      <alignment wrapText="1"/>
    </xf>
    <xf numFmtId="0" fontId="24" fillId="0" borderId="0" xfId="0" applyFont="1" applyAlignment="1">
      <alignment wrapText="1"/>
    </xf>
    <xf numFmtId="0" fontId="14" fillId="0" borderId="0" xfId="0" applyFont="1" applyFill="1" applyBorder="1" applyAlignment="1">
      <alignment vertical="top" wrapText="1"/>
    </xf>
    <xf numFmtId="0" fontId="0" fillId="0" borderId="0" xfId="0" applyAlignment="1"/>
    <xf numFmtId="0" fontId="14" fillId="0" borderId="69" xfId="0" applyFont="1" applyFill="1" applyBorder="1" applyAlignment="1">
      <alignment vertical="top" wrapText="1"/>
    </xf>
    <xf numFmtId="0" fontId="47" fillId="0" borderId="0" xfId="0" applyFont="1" applyFill="1" applyAlignment="1">
      <alignment horizontal="left" vertical="top" wrapText="1"/>
    </xf>
    <xf numFmtId="0" fontId="47" fillId="0" borderId="18" xfId="0" applyNumberFormat="1" applyFont="1" applyFill="1" applyBorder="1" applyAlignment="1">
      <alignment vertical="top" wrapText="1"/>
    </xf>
    <xf numFmtId="0" fontId="47" fillId="0" borderId="0" xfId="0" applyFont="1" applyFill="1" applyAlignment="1">
      <alignment vertical="top" wrapText="1"/>
    </xf>
    <xf numFmtId="0" fontId="14" fillId="0" borderId="38" xfId="0" applyFont="1" applyBorder="1" applyAlignment="1">
      <alignment horizontal="center" vertical="top" wrapText="1"/>
    </xf>
    <xf numFmtId="0" fontId="47" fillId="0" borderId="0" xfId="0" applyFont="1" applyBorder="1" applyAlignment="1">
      <alignment horizontal="left" vertical="top" wrapText="1"/>
    </xf>
    <xf numFmtId="0" fontId="47" fillId="0" borderId="0" xfId="0" applyFont="1" applyAlignment="1">
      <alignment horizontal="left" vertical="top" wrapText="1"/>
    </xf>
    <xf numFmtId="0" fontId="47" fillId="0" borderId="0" xfId="0" applyFont="1" applyFill="1" applyBorder="1" applyAlignment="1">
      <alignment vertical="top" wrapText="1"/>
    </xf>
    <xf numFmtId="0" fontId="49" fillId="0" borderId="4" xfId="0" applyFont="1" applyFill="1" applyBorder="1" applyAlignment="1">
      <alignment horizontal="center" vertical="top" wrapText="1"/>
    </xf>
    <xf numFmtId="0" fontId="47" fillId="0" borderId="18" xfId="0" applyFont="1" applyBorder="1" applyAlignment="1">
      <alignment vertical="top" wrapText="1"/>
    </xf>
    <xf numFmtId="0" fontId="47" fillId="0" borderId="0" xfId="0" applyFont="1" applyBorder="1" applyAlignment="1">
      <alignment vertical="top" wrapText="1"/>
    </xf>
    <xf numFmtId="0" fontId="47" fillId="0" borderId="0" xfId="0" applyFont="1" applyAlignment="1">
      <alignment vertical="top" wrapText="1"/>
    </xf>
    <xf numFmtId="0" fontId="47" fillId="0" borderId="0" xfId="0" applyFont="1" applyAlignment="1">
      <alignment wrapText="1"/>
    </xf>
    <xf numFmtId="0" fontId="47" fillId="0" borderId="21" xfId="0" applyFont="1" applyBorder="1" applyAlignment="1">
      <alignment horizontal="left" vertical="top" wrapText="1"/>
    </xf>
    <xf numFmtId="0" fontId="47" fillId="0" borderId="0" xfId="0" applyFont="1" applyFill="1" applyBorder="1" applyAlignment="1">
      <alignment horizontal="left" vertical="top" wrapText="1"/>
    </xf>
    <xf numFmtId="0" fontId="14" fillId="2" borderId="3" xfId="0" applyFont="1" applyFill="1" applyBorder="1" applyAlignment="1">
      <alignment horizontal="center" vertical="top" wrapText="1"/>
    </xf>
    <xf numFmtId="0" fontId="14" fillId="0" borderId="5" xfId="0" applyFont="1" applyBorder="1" applyAlignment="1">
      <alignment vertical="top" wrapText="1"/>
    </xf>
    <xf numFmtId="0" fontId="14" fillId="0" borderId="33" xfId="0" applyFont="1" applyBorder="1" applyAlignment="1">
      <alignment vertical="top" wrapText="1"/>
    </xf>
    <xf numFmtId="0" fontId="31" fillId="0" borderId="0" xfId="0" applyFont="1" applyAlignment="1">
      <alignment horizontal="center" vertical="top" wrapText="1"/>
    </xf>
    <xf numFmtId="0" fontId="47" fillId="0" borderId="41" xfId="0" applyFont="1" applyFill="1" applyBorder="1" applyAlignment="1">
      <alignment horizontal="left" vertical="top" wrapText="1"/>
    </xf>
    <xf numFmtId="0" fontId="33" fillId="0" borderId="0" xfId="0" applyFont="1" applyFill="1" applyBorder="1" applyAlignment="1">
      <alignment horizontal="center" vertical="top" wrapText="1"/>
    </xf>
    <xf numFmtId="0" fontId="33" fillId="0" borderId="0" xfId="0" applyFont="1" applyAlignment="1">
      <alignment horizontal="center" vertical="top" wrapText="1"/>
    </xf>
    <xf numFmtId="0" fontId="14" fillId="0" borderId="0" xfId="0" applyFont="1" applyBorder="1" applyAlignment="1">
      <alignment horizontal="center" vertical="top"/>
    </xf>
    <xf numFmtId="0" fontId="14" fillId="0" borderId="0" xfId="0" applyFont="1" applyFill="1" applyBorder="1" applyAlignment="1">
      <alignment horizontal="left" vertical="top" wrapText="1"/>
    </xf>
    <xf numFmtId="0" fontId="14" fillId="0" borderId="0" xfId="0" applyFont="1" applyBorder="1" applyAlignment="1">
      <alignment horizontal="left" vertical="top" wrapText="1"/>
    </xf>
    <xf numFmtId="0" fontId="14" fillId="0" borderId="0" xfId="0" applyFont="1" applyFill="1" applyAlignment="1">
      <alignment horizontal="center" vertical="top" wrapText="1"/>
    </xf>
    <xf numFmtId="0" fontId="14" fillId="0" borderId="0" xfId="0" applyFont="1" applyFill="1" applyAlignment="1">
      <alignment horizontal="center" vertical="top"/>
    </xf>
    <xf numFmtId="0" fontId="14" fillId="0" borderId="0" xfId="0" applyFont="1" applyFill="1" applyBorder="1" applyAlignment="1">
      <alignment horizontal="center" vertical="top" wrapText="1"/>
    </xf>
    <xf numFmtId="0" fontId="47" fillId="0" borderId="0" xfId="0" applyFont="1" applyFill="1" applyBorder="1" applyAlignment="1">
      <alignment horizontal="center" vertical="top" wrapText="1"/>
    </xf>
    <xf numFmtId="0" fontId="31" fillId="0" borderId="0" xfId="0" applyFont="1" applyFill="1" applyBorder="1" applyAlignment="1">
      <alignment horizontal="center" vertical="top" wrapText="1"/>
    </xf>
    <xf numFmtId="2" fontId="14" fillId="0" borderId="0" xfId="0" applyNumberFormat="1" applyFont="1" applyFill="1" applyBorder="1" applyAlignment="1">
      <alignment horizontal="center" vertical="top" wrapText="1"/>
    </xf>
    <xf numFmtId="0" fontId="31" fillId="0" borderId="0" xfId="0" applyFont="1" applyAlignment="1">
      <alignment horizontal="center" vertical="top"/>
    </xf>
    <xf numFmtId="0" fontId="31" fillId="0" borderId="0" xfId="0" applyFont="1" applyFill="1" applyBorder="1" applyAlignment="1">
      <alignment horizontal="center" vertical="top"/>
    </xf>
    <xf numFmtId="0" fontId="31" fillId="0" borderId="0" xfId="0" applyFont="1" applyBorder="1" applyAlignment="1">
      <alignment horizontal="center" vertical="top"/>
    </xf>
    <xf numFmtId="0" fontId="0" fillId="0" borderId="0" xfId="0" applyAlignment="1">
      <alignment horizontal="center" vertical="top"/>
    </xf>
    <xf numFmtId="0" fontId="35" fillId="0" borderId="0" xfId="0" applyFont="1" applyAlignment="1">
      <alignment horizontal="center" vertical="top" wrapText="1"/>
    </xf>
    <xf numFmtId="0" fontId="43" fillId="0" borderId="0" xfId="0" applyFont="1" applyAlignment="1">
      <alignment vertical="top" wrapText="1"/>
    </xf>
    <xf numFmtId="0" fontId="31" fillId="0" borderId="0" xfId="0" applyFont="1" applyFill="1" applyAlignment="1">
      <alignment horizontal="center" vertical="top" wrapText="1"/>
    </xf>
    <xf numFmtId="0" fontId="31" fillId="0" borderId="0" xfId="0" applyNumberFormat="1" applyFont="1" applyFill="1" applyBorder="1" applyAlignment="1">
      <alignment horizontal="center" vertical="top" wrapText="1"/>
    </xf>
    <xf numFmtId="0" fontId="31" fillId="0" borderId="0" xfId="0" applyFont="1" applyBorder="1" applyAlignment="1">
      <alignment horizontal="center" vertical="top" wrapText="1"/>
    </xf>
    <xf numFmtId="0" fontId="35" fillId="0" borderId="0" xfId="0" applyFont="1" applyAlignment="1">
      <alignment horizontal="center" vertical="top"/>
    </xf>
    <xf numFmtId="0" fontId="32" fillId="0" borderId="0" xfId="0" applyFont="1" applyAlignment="1">
      <alignment horizontal="center" vertical="top"/>
    </xf>
    <xf numFmtId="0" fontId="32" fillId="0" borderId="0" xfId="0" applyFont="1" applyFill="1" applyBorder="1" applyAlignment="1">
      <alignment horizontal="center" vertical="top"/>
    </xf>
    <xf numFmtId="0" fontId="32" fillId="0" borderId="0" xfId="0" applyFont="1" applyFill="1" applyBorder="1">
      <alignment vertical="top"/>
    </xf>
    <xf numFmtId="0" fontId="47" fillId="0" borderId="0" xfId="0" applyFont="1" applyFill="1" applyBorder="1" applyAlignment="1">
      <alignment vertical="top"/>
    </xf>
    <xf numFmtId="0" fontId="53" fillId="0" borderId="0" xfId="0" applyFont="1" applyFill="1" applyBorder="1" applyAlignment="1">
      <alignment horizontal="center" vertical="top"/>
    </xf>
    <xf numFmtId="0" fontId="47" fillId="0" borderId="0" xfId="0" applyFont="1" applyFill="1" applyAlignment="1">
      <alignment vertical="top"/>
    </xf>
    <xf numFmtId="1" fontId="0" fillId="0" borderId="0" xfId="0" applyNumberFormat="1" applyBorder="1" applyAlignment="1">
      <alignment horizontal="center" vertical="top"/>
    </xf>
    <xf numFmtId="0" fontId="51" fillId="0" borderId="0" xfId="0" applyFont="1" applyFill="1" applyBorder="1" applyAlignment="1">
      <alignment vertical="top"/>
    </xf>
    <xf numFmtId="0" fontId="47" fillId="11" borderId="0" xfId="0" applyFont="1" applyFill="1" applyBorder="1" applyAlignment="1">
      <alignment wrapText="1"/>
    </xf>
    <xf numFmtId="0" fontId="14" fillId="11" borderId="0" xfId="0" applyFont="1" applyFill="1" applyBorder="1" applyAlignment="1">
      <alignment vertical="top" wrapText="1"/>
    </xf>
    <xf numFmtId="0" fontId="17" fillId="11" borderId="0" xfId="0" applyFont="1" applyFill="1" applyBorder="1" applyAlignment="1">
      <alignment horizontal="left" vertical="top" wrapText="1"/>
    </xf>
    <xf numFmtId="0" fontId="0" fillId="11" borderId="0" xfId="0" applyFill="1" applyBorder="1" applyAlignment="1"/>
    <xf numFmtId="0" fontId="14" fillId="11" borderId="0" xfId="0" applyFont="1" applyFill="1" applyBorder="1">
      <alignment vertical="top"/>
    </xf>
    <xf numFmtId="0" fontId="14" fillId="2" borderId="48" xfId="0" applyFont="1" applyFill="1" applyBorder="1" applyAlignment="1">
      <alignment horizontal="center" vertical="top" wrapText="1"/>
    </xf>
    <xf numFmtId="0" fontId="14" fillId="0" borderId="0" xfId="0" applyNumberFormat="1" applyFont="1" applyBorder="1" applyAlignment="1">
      <alignment horizontal="center" vertical="center" wrapText="1"/>
    </xf>
    <xf numFmtId="0" fontId="47" fillId="0" borderId="19" xfId="0" applyFont="1" applyFill="1" applyBorder="1" applyAlignment="1">
      <alignment vertical="top"/>
    </xf>
    <xf numFmtId="0" fontId="47" fillId="0" borderId="0" xfId="0" applyFont="1" applyFill="1" applyBorder="1" applyAlignment="1"/>
    <xf numFmtId="0" fontId="24" fillId="0" borderId="0" xfId="0" applyFont="1" applyAlignment="1">
      <alignment horizontal="center" wrapText="1"/>
    </xf>
    <xf numFmtId="0" fontId="43" fillId="0" borderId="0" xfId="0" applyFont="1" applyAlignment="1">
      <alignment horizontal="center" wrapText="1"/>
    </xf>
    <xf numFmtId="0" fontId="31" fillId="0" borderId="0" xfId="0" applyFont="1" applyAlignment="1">
      <alignment vertical="top"/>
    </xf>
    <xf numFmtId="0" fontId="31" fillId="0" borderId="0" xfId="0" applyFont="1" applyFill="1" applyBorder="1" applyAlignment="1">
      <alignment vertical="top"/>
    </xf>
    <xf numFmtId="0" fontId="31" fillId="0" borderId="0" xfId="0" applyFont="1" applyBorder="1" applyAlignment="1">
      <alignment vertical="top"/>
    </xf>
    <xf numFmtId="0" fontId="14" fillId="0" borderId="0" xfId="0" applyNumberFormat="1" applyFont="1" applyFill="1" applyBorder="1" applyAlignment="1">
      <alignment horizontal="center" vertical="top" wrapText="1"/>
    </xf>
    <xf numFmtId="0" fontId="42" fillId="0" borderId="20" xfId="0" applyFont="1" applyBorder="1" applyAlignment="1">
      <alignment horizontal="center" vertical="top" wrapText="1"/>
    </xf>
    <xf numFmtId="0" fontId="19" fillId="0" borderId="0" xfId="0" applyFont="1" applyFill="1">
      <alignment vertical="top"/>
    </xf>
    <xf numFmtId="0" fontId="14" fillId="0" borderId="38" xfId="0" applyFont="1" applyFill="1" applyBorder="1" applyAlignment="1">
      <alignment horizontal="center" vertical="top" wrapText="1"/>
    </xf>
    <xf numFmtId="2" fontId="14" fillId="0" borderId="0" xfId="0" applyNumberFormat="1" applyFont="1" applyAlignment="1">
      <alignment horizontal="center" vertical="top" wrapText="1"/>
    </xf>
    <xf numFmtId="0" fontId="14" fillId="0" borderId="3" xfId="0" applyFont="1" applyFill="1" applyBorder="1" applyAlignment="1">
      <alignment horizontal="center" vertical="top" wrapText="1"/>
    </xf>
    <xf numFmtId="1" fontId="14" fillId="0" borderId="0" xfId="0" applyNumberFormat="1" applyFont="1" applyBorder="1" applyAlignment="1">
      <alignment horizontal="center" vertical="top"/>
    </xf>
    <xf numFmtId="0" fontId="14" fillId="0" borderId="0" xfId="0" applyFont="1" applyAlignment="1">
      <alignment horizontal="center" vertical="top"/>
    </xf>
    <xf numFmtId="0" fontId="14" fillId="0" borderId="0" xfId="0" applyFont="1" applyAlignment="1">
      <alignment horizontal="center" vertical="top" wrapText="1"/>
    </xf>
    <xf numFmtId="0" fontId="14" fillId="11" borderId="0" xfId="0" applyFont="1" applyFill="1" applyAlignment="1">
      <alignment vertical="top"/>
    </xf>
    <xf numFmtId="0" fontId="31" fillId="11" borderId="0" xfId="0" applyFont="1" applyFill="1" applyBorder="1" applyAlignment="1">
      <alignment vertical="top"/>
    </xf>
    <xf numFmtId="1" fontId="14" fillId="0" borderId="3" xfId="0" applyNumberFormat="1" applyFont="1" applyFill="1" applyBorder="1" applyAlignment="1">
      <alignment horizontal="center" vertical="top" wrapText="1"/>
    </xf>
    <xf numFmtId="0" fontId="14" fillId="0" borderId="6"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8" xfId="0" applyFont="1" applyFill="1" applyBorder="1" applyAlignment="1">
      <alignment horizontal="center" vertical="top" wrapText="1"/>
    </xf>
    <xf numFmtId="1" fontId="14" fillId="0" borderId="2" xfId="0" applyNumberFormat="1" applyFont="1" applyBorder="1" applyAlignment="1">
      <alignment horizontal="center" vertical="top" wrapText="1"/>
    </xf>
    <xf numFmtId="1" fontId="14" fillId="0" borderId="43" xfId="0" applyNumberFormat="1" applyFont="1" applyFill="1" applyBorder="1" applyAlignment="1">
      <alignment horizontal="center" vertical="top" wrapText="1"/>
    </xf>
    <xf numFmtId="1" fontId="47" fillId="0" borderId="43" xfId="0" applyNumberFormat="1" applyFont="1" applyFill="1" applyBorder="1" applyAlignment="1">
      <alignment horizontal="center" vertical="top" wrapText="1"/>
    </xf>
    <xf numFmtId="1" fontId="47" fillId="0" borderId="1" xfId="0" applyNumberFormat="1" applyFont="1" applyBorder="1" applyAlignment="1">
      <alignment horizontal="center" vertical="top" wrapText="1"/>
    </xf>
    <xf numFmtId="1" fontId="47" fillId="0" borderId="43" xfId="0" applyNumberFormat="1" applyFont="1" applyBorder="1" applyAlignment="1">
      <alignment horizontal="center" vertical="top" wrapText="1"/>
    </xf>
    <xf numFmtId="1" fontId="47" fillId="0" borderId="1" xfId="0" applyNumberFormat="1" applyFont="1" applyFill="1" applyBorder="1" applyAlignment="1">
      <alignment horizontal="center" vertical="top" wrapText="1"/>
    </xf>
    <xf numFmtId="1" fontId="47" fillId="0" borderId="3" xfId="0" applyNumberFormat="1" applyFont="1" applyFill="1" applyBorder="1" applyAlignment="1">
      <alignment horizontal="center" vertical="top" wrapText="1"/>
    </xf>
    <xf numFmtId="1" fontId="47" fillId="0" borderId="3" xfId="0" applyNumberFormat="1" applyFont="1" applyBorder="1" applyAlignment="1">
      <alignment horizontal="center" vertical="top" wrapText="1"/>
    </xf>
    <xf numFmtId="0" fontId="14" fillId="2" borderId="38" xfId="0" applyFont="1" applyFill="1" applyBorder="1" applyAlignment="1">
      <alignment horizontal="center" vertical="top" wrapText="1"/>
    </xf>
    <xf numFmtId="0" fontId="47" fillId="0" borderId="0" xfId="0" applyNumberFormat="1" applyFont="1" applyFill="1" applyBorder="1" applyAlignment="1">
      <alignment horizontal="left" vertical="top" wrapText="1"/>
    </xf>
    <xf numFmtId="0" fontId="14" fillId="0" borderId="0" xfId="0" applyFont="1" applyAlignment="1"/>
    <xf numFmtId="0" fontId="14" fillId="0" borderId="0" xfId="0" applyFont="1" applyBorder="1" applyAlignment="1">
      <alignment wrapText="1"/>
    </xf>
    <xf numFmtId="2" fontId="14" fillId="2" borderId="8" xfId="0" applyNumberFormat="1" applyFont="1" applyFill="1" applyBorder="1" applyAlignment="1">
      <alignment horizontal="center" vertical="top" wrapText="1"/>
    </xf>
    <xf numFmtId="1" fontId="14" fillId="0" borderId="0" xfId="0" applyNumberFormat="1" applyFont="1" applyFill="1" applyBorder="1" applyAlignment="1">
      <alignment horizontal="center" vertical="top" wrapText="1"/>
    </xf>
    <xf numFmtId="1" fontId="14" fillId="2" borderId="1" xfId="0" applyNumberFormat="1" applyFont="1" applyFill="1" applyBorder="1" applyAlignment="1">
      <alignment horizontal="center" vertical="top"/>
    </xf>
    <xf numFmtId="1" fontId="14" fillId="2" borderId="43" xfId="0" applyNumberFormat="1" applyFont="1" applyFill="1" applyBorder="1" applyAlignment="1">
      <alignment horizontal="center" vertical="top"/>
    </xf>
    <xf numFmtId="1" fontId="14" fillId="2" borderId="3" xfId="0" applyNumberFormat="1" applyFont="1" applyFill="1" applyBorder="1" applyAlignment="1">
      <alignment horizontal="center" vertical="top"/>
    </xf>
    <xf numFmtId="1" fontId="14" fillId="2" borderId="2" xfId="0" applyNumberFormat="1" applyFont="1" applyFill="1" applyBorder="1" applyAlignment="1">
      <alignment horizontal="center" vertical="top"/>
    </xf>
    <xf numFmtId="2" fontId="14" fillId="12" borderId="8" xfId="0" applyNumberFormat="1" applyFont="1" applyFill="1" applyBorder="1" applyAlignment="1">
      <alignment horizontal="center" vertical="top"/>
    </xf>
    <xf numFmtId="1" fontId="14" fillId="0" borderId="0" xfId="0" applyNumberFormat="1" applyFont="1" applyFill="1" applyBorder="1" applyAlignment="1">
      <alignment horizontal="center" vertical="top"/>
    </xf>
    <xf numFmtId="1" fontId="45" fillId="0" borderId="0" xfId="0" applyNumberFormat="1" applyFont="1" applyFill="1" applyBorder="1" applyAlignment="1" applyProtection="1">
      <alignment horizontal="center" vertical="top" wrapText="1"/>
      <protection hidden="1"/>
    </xf>
    <xf numFmtId="0" fontId="14" fillId="0" borderId="0" xfId="0" applyFont="1" applyFill="1" applyBorder="1" applyAlignment="1">
      <alignment wrapText="1"/>
    </xf>
    <xf numFmtId="0" fontId="14" fillId="0" borderId="0" xfId="0" applyFont="1" applyFill="1" applyAlignment="1"/>
    <xf numFmtId="0" fontId="14" fillId="0" borderId="0" xfId="0" applyFont="1" applyBorder="1" applyAlignment="1"/>
    <xf numFmtId="0" fontId="14" fillId="0" borderId="1" xfId="0" applyFont="1" applyBorder="1" applyAlignment="1">
      <alignment vertical="top" wrapText="1"/>
    </xf>
    <xf numFmtId="2" fontId="14" fillId="0" borderId="0" xfId="0" applyNumberFormat="1" applyFont="1" applyAlignment="1" applyProtection="1">
      <alignment horizontal="center" vertical="top" wrapText="1"/>
    </xf>
    <xf numFmtId="0" fontId="14" fillId="8" borderId="11" xfId="0" applyFont="1" applyFill="1" applyBorder="1" applyAlignment="1">
      <alignment horizontal="center" vertical="top" wrapText="1"/>
    </xf>
    <xf numFmtId="0" fontId="14" fillId="8" borderId="3" xfId="0" applyFont="1" applyFill="1" applyBorder="1" applyAlignment="1">
      <alignment horizontal="center" vertical="top" wrapText="1"/>
    </xf>
    <xf numFmtId="0" fontId="14" fillId="8" borderId="8" xfId="0" applyFont="1" applyFill="1" applyBorder="1" applyAlignment="1">
      <alignment horizontal="center" vertical="top" wrapText="1"/>
    </xf>
    <xf numFmtId="2" fontId="14" fillId="3" borderId="19" xfId="0" applyNumberFormat="1" applyFont="1" applyFill="1" applyBorder="1" applyAlignment="1">
      <alignment horizontal="center" vertical="top" wrapText="1"/>
    </xf>
    <xf numFmtId="0" fontId="14" fillId="8" borderId="5" xfId="0" applyFont="1" applyFill="1" applyBorder="1" applyAlignment="1">
      <alignment horizontal="center" vertical="top" wrapText="1"/>
    </xf>
    <xf numFmtId="0" fontId="14" fillId="8" borderId="1" xfId="0" applyFont="1" applyFill="1" applyBorder="1" applyAlignment="1">
      <alignment horizontal="center" vertical="top" wrapText="1"/>
    </xf>
    <xf numFmtId="2" fontId="14" fillId="8" borderId="8" xfId="0" applyNumberFormat="1" applyFont="1" applyFill="1" applyBorder="1" applyAlignment="1">
      <alignment horizontal="center" vertical="top" wrapText="1"/>
    </xf>
    <xf numFmtId="2" fontId="14" fillId="8" borderId="7" xfId="0" applyNumberFormat="1" applyFont="1" applyFill="1" applyBorder="1" applyAlignment="1">
      <alignment horizontal="center" vertical="top" wrapText="1"/>
    </xf>
    <xf numFmtId="0" fontId="14" fillId="8" borderId="55" xfId="0" applyFont="1" applyFill="1" applyBorder="1" applyAlignment="1">
      <alignment horizontal="center" vertical="top" wrapText="1"/>
    </xf>
    <xf numFmtId="2" fontId="14" fillId="3" borderId="30" xfId="0" applyNumberFormat="1" applyFont="1" applyFill="1" applyBorder="1" applyAlignment="1">
      <alignment horizontal="center" vertical="top" wrapText="1"/>
    </xf>
    <xf numFmtId="0" fontId="14" fillId="8" borderId="44" xfId="0" applyFont="1" applyFill="1" applyBorder="1" applyAlignment="1">
      <alignment horizontal="center" vertical="top" wrapText="1"/>
    </xf>
    <xf numFmtId="0" fontId="14" fillId="8" borderId="43" xfId="0" applyFont="1" applyFill="1" applyBorder="1" applyAlignment="1">
      <alignment horizontal="center" vertical="top" wrapText="1"/>
    </xf>
    <xf numFmtId="2" fontId="14" fillId="8" borderId="42" xfId="0" applyNumberFormat="1" applyFont="1" applyFill="1" applyBorder="1" applyAlignment="1">
      <alignment horizontal="center" vertical="top" wrapText="1"/>
    </xf>
    <xf numFmtId="2" fontId="14" fillId="9" borderId="19" xfId="0" applyNumberFormat="1" applyFont="1" applyFill="1" applyBorder="1" applyAlignment="1">
      <alignment horizontal="center" vertical="top" wrapText="1"/>
    </xf>
    <xf numFmtId="2" fontId="14" fillId="0" borderId="0" xfId="0" applyNumberFormat="1" applyFont="1" applyBorder="1" applyAlignment="1">
      <alignment horizontal="center" vertical="top" wrapText="1"/>
    </xf>
    <xf numFmtId="2" fontId="14" fillId="3" borderId="19" xfId="0" applyNumberFormat="1" applyFont="1" applyFill="1" applyBorder="1" applyAlignment="1">
      <alignment horizontal="center" vertical="top"/>
    </xf>
    <xf numFmtId="2" fontId="14" fillId="3" borderId="30" xfId="0" applyNumberFormat="1" applyFont="1" applyFill="1" applyBorder="1" applyAlignment="1">
      <alignment horizontal="center" vertical="top"/>
    </xf>
    <xf numFmtId="1" fontId="14" fillId="2" borderId="54" xfId="0" applyNumberFormat="1" applyFont="1" applyFill="1" applyBorder="1" applyAlignment="1">
      <alignment horizontal="center" vertical="top" wrapText="1"/>
    </xf>
    <xf numFmtId="1" fontId="14" fillId="2" borderId="55" xfId="0" applyNumberFormat="1" applyFont="1" applyFill="1" applyBorder="1" applyAlignment="1">
      <alignment horizontal="center" vertical="top"/>
    </xf>
    <xf numFmtId="2" fontId="14" fillId="2" borderId="8" xfId="0" applyNumberFormat="1" applyFont="1" applyFill="1" applyBorder="1" applyAlignment="1">
      <alignment horizontal="center" vertical="top"/>
    </xf>
    <xf numFmtId="2" fontId="14" fillId="2" borderId="7" xfId="0" applyNumberFormat="1" applyFont="1" applyFill="1" applyBorder="1" applyAlignment="1">
      <alignment horizontal="center" vertical="top"/>
    </xf>
    <xf numFmtId="2" fontId="14" fillId="2" borderId="42" xfId="0" applyNumberFormat="1" applyFont="1" applyFill="1" applyBorder="1" applyAlignment="1">
      <alignment horizontal="center" vertical="top"/>
    </xf>
    <xf numFmtId="1" fontId="14" fillId="2" borderId="11" xfId="0" applyNumberFormat="1" applyFont="1" applyFill="1" applyBorder="1" applyAlignment="1">
      <alignment horizontal="center" vertical="top" wrapText="1"/>
    </xf>
    <xf numFmtId="1" fontId="14" fillId="2" borderId="3" xfId="0" applyNumberFormat="1" applyFont="1" applyFill="1" applyBorder="1" applyAlignment="1">
      <alignment horizontal="center" vertical="top" wrapText="1"/>
    </xf>
    <xf numFmtId="1" fontId="14" fillId="2" borderId="8" xfId="0" applyNumberFormat="1" applyFont="1" applyFill="1" applyBorder="1" applyAlignment="1">
      <alignment horizontal="center" vertical="top"/>
    </xf>
    <xf numFmtId="1" fontId="14" fillId="2" borderId="1" xfId="0" applyNumberFormat="1" applyFont="1" applyFill="1" applyBorder="1" applyAlignment="1">
      <alignment horizontal="center" vertical="top" wrapText="1"/>
    </xf>
    <xf numFmtId="1" fontId="14" fillId="2" borderId="2" xfId="0" applyNumberFormat="1" applyFont="1" applyFill="1" applyBorder="1" applyAlignment="1">
      <alignment horizontal="center" vertical="top" wrapText="1"/>
    </xf>
    <xf numFmtId="1" fontId="14" fillId="2" borderId="48" xfId="0" applyNumberFormat="1" applyFont="1" applyFill="1" applyBorder="1" applyAlignment="1">
      <alignment horizontal="center" vertical="top" wrapText="1"/>
    </xf>
    <xf numFmtId="1" fontId="14" fillId="2" borderId="43" xfId="0" applyNumberFormat="1" applyFont="1" applyFill="1" applyBorder="1" applyAlignment="1">
      <alignment horizontal="center" vertical="top" wrapText="1"/>
    </xf>
    <xf numFmtId="1" fontId="14" fillId="2" borderId="5" xfId="0" applyNumberFormat="1" applyFont="1" applyFill="1" applyBorder="1" applyAlignment="1">
      <alignment horizontal="center" vertical="top" wrapText="1"/>
    </xf>
    <xf numFmtId="2" fontId="14" fillId="8" borderId="13" xfId="0" applyNumberFormat="1" applyFont="1" applyFill="1" applyBorder="1" applyAlignment="1">
      <alignment horizontal="center" vertical="top" wrapText="1"/>
    </xf>
    <xf numFmtId="1" fontId="14" fillId="0" borderId="2" xfId="0" applyNumberFormat="1" applyFont="1" applyFill="1" applyBorder="1" applyAlignment="1">
      <alignment horizontal="center" vertical="top" wrapText="1"/>
    </xf>
    <xf numFmtId="1" fontId="14" fillId="2" borderId="16" xfId="0" applyNumberFormat="1" applyFont="1" applyFill="1" applyBorder="1" applyAlignment="1">
      <alignment horizontal="center" vertical="top" wrapText="1"/>
    </xf>
    <xf numFmtId="1" fontId="14" fillId="0" borderId="0" xfId="0" applyNumberFormat="1" applyFont="1" applyAlignment="1">
      <alignment horizontal="center" vertical="top"/>
    </xf>
    <xf numFmtId="2" fontId="14" fillId="0" borderId="0" xfId="0" applyNumberFormat="1" applyFont="1" applyAlignment="1">
      <alignment horizontal="center" vertical="top"/>
    </xf>
    <xf numFmtId="2" fontId="14" fillId="0" borderId="0" xfId="0" applyNumberFormat="1" applyFont="1" applyBorder="1" applyAlignment="1">
      <alignment horizontal="center" vertical="top"/>
    </xf>
    <xf numFmtId="1" fontId="14" fillId="8" borderId="3" xfId="0" applyNumberFormat="1" applyFont="1" applyFill="1" applyBorder="1" applyAlignment="1">
      <alignment horizontal="center" vertical="top" wrapText="1"/>
    </xf>
    <xf numFmtId="1" fontId="14" fillId="8" borderId="8" xfId="0" applyNumberFormat="1" applyFont="1" applyFill="1" applyBorder="1" applyAlignment="1">
      <alignment horizontal="center" vertical="top" wrapText="1"/>
    </xf>
    <xf numFmtId="1" fontId="14" fillId="8" borderId="1" xfId="0" applyNumberFormat="1" applyFont="1" applyFill="1" applyBorder="1" applyAlignment="1">
      <alignment horizontal="center" vertical="top" wrapText="1"/>
    </xf>
    <xf numFmtId="1" fontId="14" fillId="2" borderId="58" xfId="0" applyNumberFormat="1" applyFont="1" applyFill="1" applyBorder="1" applyAlignment="1">
      <alignment horizontal="center" vertical="top"/>
    </xf>
    <xf numFmtId="1" fontId="14" fillId="2" borderId="51" xfId="0" applyNumberFormat="1" applyFont="1" applyFill="1" applyBorder="1" applyAlignment="1">
      <alignment horizontal="center" vertical="top" wrapText="1"/>
    </xf>
    <xf numFmtId="2" fontId="14" fillId="2" borderId="7" xfId="0" applyNumberFormat="1" applyFont="1" applyFill="1" applyBorder="1" applyAlignment="1">
      <alignment horizontal="center" vertical="top" wrapText="1"/>
    </xf>
    <xf numFmtId="2" fontId="14" fillId="2" borderId="42" xfId="0" applyNumberFormat="1" applyFont="1" applyFill="1" applyBorder="1" applyAlignment="1">
      <alignment horizontal="center" vertical="top" wrapText="1"/>
    </xf>
    <xf numFmtId="1" fontId="14" fillId="2" borderId="8" xfId="0" applyNumberFormat="1" applyFont="1" applyFill="1" applyBorder="1" applyAlignment="1">
      <alignment horizontal="center" vertical="top" wrapText="1"/>
    </xf>
    <xf numFmtId="0" fontId="14" fillId="2" borderId="1" xfId="0" applyNumberFormat="1" applyFont="1" applyFill="1" applyBorder="1" applyAlignment="1">
      <alignment horizontal="center" vertical="top" wrapText="1"/>
    </xf>
    <xf numFmtId="0" fontId="14" fillId="2" borderId="2" xfId="0" applyNumberFormat="1" applyFont="1" applyFill="1" applyBorder="1" applyAlignment="1">
      <alignment horizontal="center" vertical="top" wrapText="1"/>
    </xf>
    <xf numFmtId="1" fontId="14" fillId="2" borderId="55" xfId="0" applyNumberFormat="1" applyFont="1" applyFill="1" applyBorder="1" applyAlignment="1">
      <alignment horizontal="center" vertical="top" wrapText="1"/>
    </xf>
    <xf numFmtId="0" fontId="14" fillId="2" borderId="43" xfId="0" applyNumberFormat="1" applyFont="1" applyFill="1" applyBorder="1" applyAlignment="1">
      <alignment horizontal="center" vertical="top" wrapText="1"/>
    </xf>
    <xf numFmtId="2" fontId="14" fillId="3" borderId="8" xfId="0" applyNumberFormat="1" applyFont="1" applyFill="1" applyBorder="1" applyAlignment="1">
      <alignment horizontal="center" vertical="top" wrapText="1"/>
    </xf>
    <xf numFmtId="1" fontId="14" fillId="2" borderId="7" xfId="0" applyNumberFormat="1" applyFont="1" applyFill="1" applyBorder="1" applyAlignment="1">
      <alignment horizontal="center" vertical="top" wrapText="1"/>
    </xf>
    <xf numFmtId="1" fontId="14" fillId="2" borderId="42" xfId="0" applyNumberFormat="1" applyFont="1" applyFill="1" applyBorder="1" applyAlignment="1">
      <alignment horizontal="center" vertical="top" wrapText="1"/>
    </xf>
    <xf numFmtId="2" fontId="14" fillId="2" borderId="13" xfId="0" applyNumberFormat="1" applyFont="1" applyFill="1" applyBorder="1" applyAlignment="1">
      <alignment horizontal="center" vertical="top" wrapText="1"/>
    </xf>
    <xf numFmtId="1" fontId="14" fillId="2" borderId="52" xfId="0" applyNumberFormat="1" applyFont="1" applyFill="1" applyBorder="1" applyAlignment="1">
      <alignment horizontal="center" vertical="top" wrapText="1"/>
    </xf>
    <xf numFmtId="1" fontId="14" fillId="2" borderId="38" xfId="0" applyNumberFormat="1" applyFont="1" applyFill="1" applyBorder="1" applyAlignment="1">
      <alignment horizontal="center" vertical="top" wrapText="1"/>
    </xf>
    <xf numFmtId="1" fontId="14" fillId="2" borderId="46" xfId="0" applyNumberFormat="1" applyFont="1" applyFill="1" applyBorder="1" applyAlignment="1">
      <alignment horizontal="center" vertical="top" wrapText="1"/>
    </xf>
    <xf numFmtId="1" fontId="14" fillId="2" borderId="6" xfId="0" applyNumberFormat="1" applyFont="1" applyFill="1" applyBorder="1" applyAlignment="1">
      <alignment horizontal="center" vertical="top" wrapText="1"/>
    </xf>
    <xf numFmtId="1" fontId="14" fillId="2" borderId="44" xfId="0" applyNumberFormat="1" applyFont="1" applyFill="1" applyBorder="1" applyAlignment="1">
      <alignment horizontal="center" vertical="top" wrapText="1"/>
    </xf>
    <xf numFmtId="2" fontId="14" fillId="3" borderId="4" xfId="0" applyNumberFormat="1" applyFont="1" applyFill="1" applyBorder="1" applyAlignment="1">
      <alignment horizontal="center" vertical="top" wrapText="1"/>
    </xf>
    <xf numFmtId="2" fontId="14" fillId="2" borderId="54" xfId="0" applyNumberFormat="1" applyFont="1" applyFill="1" applyBorder="1" applyAlignment="1">
      <alignment horizontal="center" vertical="top"/>
    </xf>
    <xf numFmtId="2" fontId="14" fillId="2" borderId="13" xfId="0" applyNumberFormat="1" applyFont="1" applyFill="1" applyBorder="1" applyAlignment="1">
      <alignment horizontal="center" vertical="top"/>
    </xf>
    <xf numFmtId="1" fontId="14" fillId="2" borderId="45" xfId="0" applyNumberFormat="1" applyFont="1" applyFill="1" applyBorder="1" applyAlignment="1">
      <alignment horizontal="center" vertical="top" wrapText="1"/>
    </xf>
    <xf numFmtId="2" fontId="14" fillId="2" borderId="53" xfId="0" applyNumberFormat="1" applyFont="1" applyFill="1" applyBorder="1" applyAlignment="1">
      <alignment horizontal="center" vertical="top" wrapText="1"/>
    </xf>
    <xf numFmtId="1" fontId="14" fillId="2" borderId="39" xfId="0" applyNumberFormat="1" applyFont="1" applyFill="1" applyBorder="1" applyAlignment="1">
      <alignment horizontal="center" vertical="top" wrapText="1"/>
    </xf>
    <xf numFmtId="1" fontId="14" fillId="2" borderId="13" xfId="0" applyNumberFormat="1" applyFont="1" applyFill="1" applyBorder="1" applyAlignment="1">
      <alignment horizontal="center" vertical="top" wrapText="1"/>
    </xf>
    <xf numFmtId="2" fontId="14" fillId="0" borderId="38" xfId="0" applyNumberFormat="1" applyFont="1" applyBorder="1" applyAlignment="1">
      <alignment horizontal="center" vertical="top" wrapText="1"/>
    </xf>
    <xf numFmtId="2" fontId="14" fillId="0" borderId="0" xfId="0" applyNumberFormat="1" applyFont="1" applyFill="1" applyBorder="1" applyAlignment="1">
      <alignment horizontal="center" vertical="top"/>
    </xf>
    <xf numFmtId="1" fontId="14" fillId="2" borderId="58" xfId="0" applyNumberFormat="1" applyFont="1" applyFill="1" applyBorder="1" applyAlignment="1">
      <alignment horizontal="center" vertical="top" wrapText="1"/>
    </xf>
    <xf numFmtId="0" fontId="14" fillId="2" borderId="45" xfId="0" applyNumberFormat="1" applyFont="1" applyFill="1" applyBorder="1" applyAlignment="1">
      <alignment horizontal="center" vertical="top" wrapText="1"/>
    </xf>
    <xf numFmtId="0" fontId="14" fillId="2" borderId="38" xfId="0" applyNumberFormat="1" applyFont="1" applyFill="1" applyBorder="1" applyAlignment="1">
      <alignment horizontal="center" vertical="top" wrapText="1"/>
    </xf>
    <xf numFmtId="2" fontId="14" fillId="4" borderId="4" xfId="0" applyNumberFormat="1" applyFont="1" applyFill="1" applyBorder="1" applyAlignment="1">
      <alignment horizontal="center" vertical="top" wrapText="1"/>
    </xf>
    <xf numFmtId="1" fontId="14" fillId="0" borderId="0" xfId="0" applyNumberFormat="1" applyFont="1" applyFill="1" applyAlignment="1">
      <alignment horizontal="center" vertical="top"/>
    </xf>
    <xf numFmtId="2" fontId="14" fillId="2" borderId="48" xfId="0" applyNumberFormat="1" applyFont="1" applyFill="1" applyBorder="1" applyAlignment="1">
      <alignment horizontal="center" vertical="top"/>
    </xf>
    <xf numFmtId="2" fontId="14" fillId="2" borderId="55" xfId="0" applyNumberFormat="1" applyFont="1" applyFill="1" applyBorder="1" applyAlignment="1">
      <alignment horizontal="center" vertical="top"/>
    </xf>
    <xf numFmtId="2" fontId="14" fillId="3" borderId="26" xfId="0" applyNumberFormat="1" applyFont="1" applyFill="1" applyBorder="1" applyAlignment="1">
      <alignment horizontal="center" vertical="top" wrapText="1"/>
    </xf>
    <xf numFmtId="2" fontId="14" fillId="3" borderId="55" xfId="0" applyNumberFormat="1" applyFont="1" applyFill="1" applyBorder="1" applyAlignment="1">
      <alignment horizontal="center" vertical="top"/>
    </xf>
    <xf numFmtId="0" fontId="47" fillId="0" borderId="43" xfId="0" applyFont="1" applyFill="1" applyBorder="1" applyAlignment="1">
      <alignment horizontal="center" vertical="top" wrapText="1"/>
    </xf>
    <xf numFmtId="1" fontId="14" fillId="2" borderId="39" xfId="0" applyNumberFormat="1" applyFont="1" applyFill="1" applyBorder="1" applyAlignment="1">
      <alignment horizontal="center" vertical="top"/>
    </xf>
    <xf numFmtId="2" fontId="14" fillId="2" borderId="55" xfId="0" applyNumberFormat="1" applyFont="1" applyFill="1" applyBorder="1" applyAlignment="1" applyProtection="1">
      <alignment horizontal="center" vertical="top" wrapText="1"/>
    </xf>
    <xf numFmtId="1" fontId="14" fillId="2" borderId="0" xfId="0" applyNumberFormat="1" applyFont="1" applyFill="1" applyBorder="1" applyAlignment="1">
      <alignment horizontal="center" vertical="top"/>
    </xf>
    <xf numFmtId="2" fontId="14" fillId="2" borderId="0" xfId="0" applyNumberFormat="1" applyFont="1" applyFill="1" applyBorder="1" applyAlignment="1">
      <alignment horizontal="center" vertical="top"/>
    </xf>
    <xf numFmtId="0" fontId="47" fillId="0" borderId="21" xfId="0" applyNumberFormat="1" applyFont="1" applyBorder="1" applyAlignment="1">
      <alignment vertical="top" wrapText="1"/>
    </xf>
    <xf numFmtId="2" fontId="14" fillId="10" borderId="4" xfId="0" applyNumberFormat="1" applyFont="1" applyFill="1" applyBorder="1" applyAlignment="1">
      <alignment horizontal="center" vertical="top" wrapText="1"/>
    </xf>
    <xf numFmtId="0" fontId="14" fillId="2" borderId="7" xfId="0" applyFont="1" applyFill="1" applyBorder="1" applyAlignment="1">
      <alignment horizontal="center" vertical="top" wrapText="1"/>
    </xf>
    <xf numFmtId="0" fontId="14" fillId="2" borderId="58" xfId="0" applyFont="1" applyFill="1" applyBorder="1" applyAlignment="1">
      <alignment horizontal="center" vertical="top" wrapText="1"/>
    </xf>
    <xf numFmtId="2" fontId="0" fillId="0" borderId="0" xfId="0" applyNumberFormat="1">
      <alignment vertical="top"/>
    </xf>
    <xf numFmtId="0" fontId="0" fillId="0" borderId="0" xfId="0" applyNumberFormat="1">
      <alignment vertical="top"/>
    </xf>
    <xf numFmtId="1" fontId="0" fillId="0" borderId="0" xfId="0" applyNumberFormat="1">
      <alignment vertical="top"/>
    </xf>
    <xf numFmtId="1" fontId="14" fillId="0" borderId="3" xfId="0" applyNumberFormat="1" applyFont="1" applyBorder="1" applyAlignment="1">
      <alignment horizontal="center" vertical="top" wrapText="1"/>
    </xf>
    <xf numFmtId="1" fontId="14" fillId="0" borderId="6" xfId="0" applyNumberFormat="1" applyFont="1" applyFill="1" applyBorder="1" applyAlignment="1">
      <alignment horizontal="center" vertical="top" wrapText="1"/>
    </xf>
    <xf numFmtId="1" fontId="14" fillId="2" borderId="73" xfId="0" applyNumberFormat="1" applyFont="1" applyFill="1" applyBorder="1" applyAlignment="1">
      <alignment horizontal="center" vertical="top"/>
    </xf>
    <xf numFmtId="0" fontId="36" fillId="0" borderId="0" xfId="0" applyFont="1" applyFill="1" applyBorder="1" applyAlignment="1">
      <alignment vertical="center" wrapText="1"/>
    </xf>
    <xf numFmtId="0" fontId="22" fillId="0" borderId="0" xfId="0" applyFont="1">
      <alignment vertical="top"/>
    </xf>
    <xf numFmtId="2" fontId="22" fillId="0" borderId="0" xfId="0" applyNumberFormat="1" applyFont="1">
      <alignment vertical="top"/>
    </xf>
    <xf numFmtId="49" fontId="11" fillId="6" borderId="28" xfId="1" applyNumberFormat="1" applyFont="1" applyFill="1" applyBorder="1" applyAlignment="1">
      <alignment vertical="center" wrapText="1"/>
    </xf>
    <xf numFmtId="0" fontId="14" fillId="0" borderId="30" xfId="0" applyFont="1" applyBorder="1" applyAlignment="1">
      <alignment vertical="top" wrapText="1"/>
    </xf>
    <xf numFmtId="0" fontId="14" fillId="0" borderId="47" xfId="0" applyFont="1" applyBorder="1" applyAlignment="1">
      <alignment horizontal="left" vertical="top" wrapText="1"/>
    </xf>
    <xf numFmtId="0" fontId="14" fillId="0" borderId="21" xfId="0" applyFont="1" applyFill="1" applyBorder="1" applyAlignment="1">
      <alignment vertical="top" wrapText="1"/>
    </xf>
    <xf numFmtId="1" fontId="14" fillId="11" borderId="70" xfId="0" applyNumberFormat="1" applyFont="1" applyFill="1" applyBorder="1" applyAlignment="1" applyProtection="1">
      <alignment horizontal="left" vertical="top" wrapText="1"/>
      <protection hidden="1"/>
    </xf>
    <xf numFmtId="1" fontId="14" fillId="0" borderId="82" xfId="0" applyNumberFormat="1" applyFont="1" applyBorder="1" applyAlignment="1">
      <alignment horizontal="left" vertical="top" wrapText="1"/>
    </xf>
    <xf numFmtId="1" fontId="14" fillId="0" borderId="44" xfId="0" applyNumberFormat="1" applyFont="1" applyBorder="1" applyAlignment="1">
      <alignment horizontal="left" vertical="top" wrapText="1"/>
    </xf>
    <xf numFmtId="1" fontId="14" fillId="11" borderId="17" xfId="0" applyNumberFormat="1" applyFont="1" applyFill="1" applyBorder="1" applyAlignment="1" applyProtection="1">
      <alignment horizontal="left" vertical="top" wrapText="1"/>
      <protection hidden="1"/>
    </xf>
    <xf numFmtId="1" fontId="14" fillId="11" borderId="30" xfId="0" applyNumberFormat="1" applyFont="1" applyFill="1" applyBorder="1" applyAlignment="1" applyProtection="1">
      <alignment horizontal="left" vertical="top" wrapText="1"/>
      <protection hidden="1"/>
    </xf>
    <xf numFmtId="1" fontId="14" fillId="11" borderId="4" xfId="0" applyNumberFormat="1" applyFont="1" applyFill="1" applyBorder="1" applyAlignment="1" applyProtection="1">
      <alignment horizontal="left" vertical="top" wrapText="1"/>
      <protection hidden="1"/>
    </xf>
    <xf numFmtId="1" fontId="14" fillId="0" borderId="41" xfId="0" applyNumberFormat="1" applyFont="1" applyFill="1" applyBorder="1" applyAlignment="1" applyProtection="1">
      <alignment horizontal="left" vertical="top" wrapText="1"/>
      <protection hidden="1"/>
    </xf>
    <xf numFmtId="1" fontId="14" fillId="2" borderId="38" xfId="0" applyNumberFormat="1" applyFont="1" applyFill="1" applyBorder="1" applyAlignment="1" applyProtection="1">
      <alignment horizontal="center" vertical="top" wrapText="1"/>
      <protection hidden="1"/>
    </xf>
    <xf numFmtId="0" fontId="14" fillId="2" borderId="38" xfId="0" applyFont="1" applyFill="1" applyBorder="1" applyAlignment="1" applyProtection="1">
      <alignment horizontal="center" vertical="top" wrapText="1"/>
      <protection hidden="1"/>
    </xf>
    <xf numFmtId="1" fontId="14" fillId="11" borderId="57" xfId="0" applyNumberFormat="1" applyFont="1" applyFill="1" applyBorder="1" applyAlignment="1" applyProtection="1">
      <alignment horizontal="left" vertical="top" wrapText="1"/>
      <protection hidden="1"/>
    </xf>
    <xf numFmtId="1" fontId="14" fillId="11" borderId="26" xfId="0" applyNumberFormat="1" applyFont="1" applyFill="1" applyBorder="1" applyAlignment="1" applyProtection="1">
      <alignment horizontal="left" vertical="top" wrapText="1"/>
      <protection hidden="1"/>
    </xf>
    <xf numFmtId="1" fontId="14" fillId="2" borderId="6" xfId="0" applyNumberFormat="1" applyFont="1" applyFill="1" applyBorder="1" applyAlignment="1" applyProtection="1">
      <alignment horizontal="center" vertical="top" wrapText="1"/>
      <protection hidden="1"/>
    </xf>
    <xf numFmtId="0" fontId="14" fillId="2" borderId="6" xfId="0" applyFont="1" applyFill="1" applyBorder="1" applyAlignment="1" applyProtection="1">
      <alignment horizontal="center" vertical="top" wrapText="1"/>
      <protection hidden="1"/>
    </xf>
    <xf numFmtId="1" fontId="14" fillId="0" borderId="11" xfId="0" applyNumberFormat="1" applyFont="1" applyBorder="1" applyAlignment="1">
      <alignment horizontal="left" vertical="top" wrapText="1"/>
    </xf>
    <xf numFmtId="0" fontId="14" fillId="0" borderId="11" xfId="0" applyFont="1" applyBorder="1" applyAlignment="1">
      <alignment horizontal="left" vertical="top" wrapText="1"/>
    </xf>
    <xf numFmtId="0" fontId="14" fillId="0" borderId="82" xfId="0" applyFont="1" applyBorder="1" applyAlignment="1">
      <alignment vertical="top" wrapText="1"/>
    </xf>
    <xf numFmtId="0" fontId="14" fillId="0" borderId="44" xfId="0" applyFont="1" applyBorder="1" applyAlignment="1">
      <alignment vertical="top" wrapText="1"/>
    </xf>
    <xf numFmtId="2" fontId="14" fillId="12" borderId="46" xfId="0" applyNumberFormat="1" applyFont="1" applyFill="1" applyBorder="1" applyAlignment="1">
      <alignment horizontal="center" vertical="top"/>
    </xf>
    <xf numFmtId="0" fontId="47" fillId="0" borderId="4" xfId="0" applyFont="1" applyFill="1" applyBorder="1" applyAlignment="1">
      <alignment horizontal="left" vertical="top"/>
    </xf>
    <xf numFmtId="0" fontId="14" fillId="0" borderId="4" xfId="0" applyFont="1" applyFill="1" applyBorder="1" applyAlignment="1">
      <alignment horizontal="left" vertical="top"/>
    </xf>
    <xf numFmtId="1" fontId="14" fillId="0" borderId="4" xfId="0" applyNumberFormat="1" applyFont="1" applyBorder="1" applyAlignment="1">
      <alignment horizontal="left" vertical="top" wrapText="1"/>
    </xf>
    <xf numFmtId="0" fontId="24" fillId="0" borderId="0" xfId="0" applyFont="1" applyAlignment="1">
      <alignment vertical="center" wrapText="1"/>
    </xf>
    <xf numFmtId="0" fontId="14" fillId="2" borderId="73" xfId="0" applyFont="1" applyFill="1" applyBorder="1" applyAlignment="1" applyProtection="1">
      <alignment horizontal="center" vertical="top" wrapText="1"/>
      <protection hidden="1"/>
    </xf>
    <xf numFmtId="0" fontId="14" fillId="0" borderId="39" xfId="0" applyFont="1" applyFill="1" applyBorder="1" applyAlignment="1" applyProtection="1">
      <alignment horizontal="left" vertical="top" wrapText="1"/>
      <protection hidden="1"/>
    </xf>
    <xf numFmtId="0" fontId="14" fillId="0" borderId="12" xfId="0" applyFont="1" applyFill="1" applyBorder="1" applyAlignment="1" applyProtection="1">
      <alignment horizontal="left" vertical="top" wrapText="1"/>
      <protection hidden="1"/>
    </xf>
    <xf numFmtId="0" fontId="14" fillId="0" borderId="12" xfId="0" applyFont="1" applyFill="1" applyBorder="1" applyAlignment="1">
      <alignment horizontal="left" vertical="top" wrapText="1"/>
    </xf>
    <xf numFmtId="0" fontId="14" fillId="0" borderId="74" xfId="0" applyFont="1" applyBorder="1" applyAlignment="1">
      <alignment horizontal="left" vertical="top" wrapText="1"/>
    </xf>
    <xf numFmtId="0" fontId="14" fillId="0" borderId="44" xfId="0" applyFont="1" applyBorder="1" applyAlignment="1">
      <alignment horizontal="left" vertical="top" wrapText="1"/>
    </xf>
    <xf numFmtId="0" fontId="14" fillId="0" borderId="11" xfId="0" applyFont="1" applyBorder="1" applyAlignment="1">
      <alignment vertical="top" wrapText="1"/>
    </xf>
    <xf numFmtId="0" fontId="14" fillId="0" borderId="82" xfId="0" applyFont="1" applyBorder="1" applyAlignment="1">
      <alignment horizontal="left" vertical="top" wrapText="1"/>
    </xf>
    <xf numFmtId="2" fontId="47" fillId="12" borderId="46" xfId="0" applyNumberFormat="1" applyFont="1" applyFill="1" applyBorder="1" applyAlignment="1">
      <alignment horizontal="center" vertical="top"/>
    </xf>
    <xf numFmtId="2" fontId="14" fillId="12" borderId="72" xfId="0" applyNumberFormat="1" applyFont="1" applyFill="1" applyBorder="1" applyAlignment="1">
      <alignment horizontal="center" vertical="top"/>
    </xf>
    <xf numFmtId="2" fontId="14" fillId="12" borderId="13" xfId="0" applyNumberFormat="1" applyFont="1" applyFill="1" applyBorder="1" applyAlignment="1">
      <alignment horizontal="center" vertical="top"/>
    </xf>
    <xf numFmtId="2" fontId="47" fillId="12" borderId="13" xfId="0" applyNumberFormat="1" applyFont="1" applyFill="1" applyBorder="1" applyAlignment="1">
      <alignment horizontal="center" vertical="top"/>
    </xf>
    <xf numFmtId="2" fontId="14" fillId="8" borderId="72" xfId="0" applyNumberFormat="1" applyFont="1" applyFill="1" applyBorder="1" applyAlignment="1">
      <alignment horizontal="center" vertical="top" wrapText="1"/>
    </xf>
    <xf numFmtId="1" fontId="14" fillId="0" borderId="41" xfId="0" applyNumberFormat="1" applyFont="1" applyFill="1" applyBorder="1" applyAlignment="1" applyProtection="1">
      <alignment vertical="top" wrapText="1"/>
      <protection hidden="1"/>
    </xf>
    <xf numFmtId="1" fontId="14" fillId="0" borderId="67" xfId="0" applyNumberFormat="1" applyFont="1" applyFill="1" applyBorder="1" applyAlignment="1" applyProtection="1">
      <alignment vertical="top" wrapText="1"/>
      <protection hidden="1"/>
    </xf>
    <xf numFmtId="0" fontId="47" fillId="0" borderId="80" xfId="0" applyFont="1" applyFill="1" applyBorder="1" applyAlignment="1">
      <alignment horizontal="left" vertical="top"/>
    </xf>
    <xf numFmtId="0" fontId="47" fillId="0" borderId="26" xfId="0" applyFont="1" applyFill="1" applyBorder="1" applyAlignment="1">
      <alignment horizontal="left" vertical="top"/>
    </xf>
    <xf numFmtId="0" fontId="14" fillId="0" borderId="41" xfId="0" applyFont="1" applyFill="1" applyBorder="1" applyAlignment="1">
      <alignment horizontal="left" vertical="top" wrapText="1"/>
    </xf>
    <xf numFmtId="0" fontId="14" fillId="8" borderId="78" xfId="0" applyFont="1" applyFill="1" applyBorder="1" applyAlignment="1">
      <alignment horizontal="center" vertical="top" wrapText="1"/>
    </xf>
    <xf numFmtId="0" fontId="14" fillId="0" borderId="81" xfId="0" applyFont="1" applyFill="1" applyBorder="1" applyAlignment="1">
      <alignment horizontal="center" vertical="top" wrapText="1"/>
    </xf>
    <xf numFmtId="0" fontId="14" fillId="8" borderId="81" xfId="0" applyFont="1" applyFill="1" applyBorder="1" applyAlignment="1">
      <alignment horizontal="center" vertical="top" wrapText="1"/>
    </xf>
    <xf numFmtId="0" fontId="14" fillId="0" borderId="73" xfId="0" applyFont="1" applyBorder="1" applyAlignment="1">
      <alignment horizontal="center" vertical="top" wrapText="1"/>
    </xf>
    <xf numFmtId="0" fontId="14" fillId="8" borderId="73" xfId="0" applyFont="1" applyFill="1" applyBorder="1" applyAlignment="1">
      <alignment horizontal="center" vertical="top" wrapText="1"/>
    </xf>
    <xf numFmtId="2" fontId="14" fillId="9" borderId="30" xfId="0" applyNumberFormat="1" applyFont="1" applyFill="1" applyBorder="1" applyAlignment="1">
      <alignment horizontal="center" vertical="top" wrapText="1"/>
    </xf>
    <xf numFmtId="0" fontId="14" fillId="0" borderId="81" xfId="0" applyFont="1" applyBorder="1" applyAlignment="1">
      <alignment horizontal="center" vertical="top" wrapText="1"/>
    </xf>
    <xf numFmtId="0" fontId="14" fillId="0" borderId="12" xfId="0" applyFont="1" applyFill="1" applyBorder="1" applyAlignment="1">
      <alignment vertical="top" wrapText="1"/>
    </xf>
    <xf numFmtId="0" fontId="14" fillId="0" borderId="74" xfId="0" applyFont="1" applyFill="1" applyBorder="1" applyAlignment="1">
      <alignment vertical="top" wrapText="1"/>
    </xf>
    <xf numFmtId="0" fontId="14" fillId="0" borderId="82" xfId="0" applyFont="1" applyFill="1" applyBorder="1" applyAlignment="1">
      <alignment vertical="top" wrapText="1"/>
    </xf>
    <xf numFmtId="1" fontId="14" fillId="0" borderId="11" xfId="0" applyNumberFormat="1" applyFont="1" applyFill="1" applyBorder="1" applyAlignment="1">
      <alignment vertical="top" wrapText="1"/>
    </xf>
    <xf numFmtId="1" fontId="14" fillId="0" borderId="82" xfId="0" applyNumberFormat="1" applyFont="1" applyFill="1" applyBorder="1" applyAlignment="1">
      <alignment vertical="top" wrapText="1"/>
    </xf>
    <xf numFmtId="1" fontId="14" fillId="0" borderId="74" xfId="0" applyNumberFormat="1" applyFont="1" applyFill="1" applyBorder="1" applyAlignment="1">
      <alignment vertical="top" wrapText="1"/>
    </xf>
    <xf numFmtId="0" fontId="14" fillId="0" borderId="74" xfId="0" applyFont="1" applyBorder="1" applyAlignment="1">
      <alignment vertical="top" wrapText="1"/>
    </xf>
    <xf numFmtId="2" fontId="14" fillId="2" borderId="72" xfId="0" applyNumberFormat="1" applyFont="1" applyFill="1" applyBorder="1" applyAlignment="1">
      <alignment horizontal="center" vertical="top"/>
    </xf>
    <xf numFmtId="1" fontId="14" fillId="2" borderId="78" xfId="0" applyNumberFormat="1" applyFont="1" applyFill="1" applyBorder="1" applyAlignment="1">
      <alignment horizontal="center" vertical="top"/>
    </xf>
    <xf numFmtId="1" fontId="14" fillId="2" borderId="81" xfId="0" applyNumberFormat="1" applyFont="1" applyFill="1" applyBorder="1" applyAlignment="1">
      <alignment horizontal="center" vertical="top"/>
    </xf>
    <xf numFmtId="0" fontId="14" fillId="0" borderId="73" xfId="0" applyFont="1" applyFill="1" applyBorder="1" applyAlignment="1">
      <alignment horizontal="center" vertical="top" wrapText="1"/>
    </xf>
    <xf numFmtId="1" fontId="14" fillId="8" borderId="43" xfId="0" applyNumberFormat="1" applyFont="1" applyFill="1" applyBorder="1" applyAlignment="1">
      <alignment horizontal="center" vertical="top"/>
    </xf>
    <xf numFmtId="1" fontId="14" fillId="2" borderId="86" xfId="0" applyNumberFormat="1" applyFont="1" applyFill="1" applyBorder="1" applyAlignment="1">
      <alignment horizontal="center" vertical="top" wrapText="1"/>
    </xf>
    <xf numFmtId="1" fontId="14" fillId="0" borderId="68" xfId="0" applyNumberFormat="1" applyFont="1" applyFill="1" applyBorder="1" applyAlignment="1">
      <alignment vertical="top" wrapText="1"/>
    </xf>
    <xf numFmtId="0" fontId="14" fillId="8" borderId="0" xfId="0" applyFont="1" applyFill="1" applyBorder="1" applyAlignment="1">
      <alignment horizontal="center" vertical="top" wrapText="1"/>
    </xf>
    <xf numFmtId="0" fontId="14" fillId="8" borderId="13" xfId="0" applyFont="1" applyFill="1" applyBorder="1" applyAlignment="1">
      <alignment horizontal="center" vertical="top" wrapText="1"/>
    </xf>
    <xf numFmtId="1" fontId="14" fillId="2" borderId="78" xfId="0" applyNumberFormat="1" applyFont="1" applyFill="1" applyBorder="1" applyAlignment="1">
      <alignment horizontal="center" vertical="top" wrapText="1"/>
    </xf>
    <xf numFmtId="1" fontId="14" fillId="2" borderId="81" xfId="0" applyNumberFormat="1" applyFont="1" applyFill="1" applyBorder="1" applyAlignment="1">
      <alignment horizontal="center" vertical="top" wrapText="1"/>
    </xf>
    <xf numFmtId="1" fontId="14" fillId="2" borderId="86" xfId="0" applyNumberFormat="1" applyFont="1" applyFill="1" applyBorder="1" applyAlignment="1">
      <alignment horizontal="center" vertical="top"/>
    </xf>
    <xf numFmtId="1" fontId="14" fillId="0" borderId="36" xfId="0" applyNumberFormat="1" applyFont="1" applyFill="1" applyBorder="1" applyAlignment="1" applyProtection="1">
      <alignment horizontal="left" vertical="top" wrapText="1"/>
      <protection hidden="1"/>
    </xf>
    <xf numFmtId="1" fontId="14" fillId="2" borderId="73" xfId="0" applyNumberFormat="1" applyFont="1" applyFill="1" applyBorder="1" applyAlignment="1">
      <alignment horizontal="center" vertical="top" wrapText="1"/>
    </xf>
    <xf numFmtId="1" fontId="14" fillId="2" borderId="82" xfId="0" applyNumberFormat="1" applyFont="1" applyFill="1" applyBorder="1" applyAlignment="1">
      <alignment horizontal="center" vertical="top" wrapText="1"/>
    </xf>
    <xf numFmtId="1" fontId="14" fillId="0" borderId="81" xfId="0" applyNumberFormat="1" applyFont="1" applyFill="1" applyBorder="1" applyAlignment="1">
      <alignment horizontal="center" vertical="top" wrapText="1"/>
    </xf>
    <xf numFmtId="1" fontId="14" fillId="0" borderId="73" xfId="0" applyNumberFormat="1" applyFont="1" applyFill="1" applyBorder="1" applyAlignment="1">
      <alignment horizontal="center" vertical="top" wrapText="1"/>
    </xf>
    <xf numFmtId="1" fontId="14" fillId="2" borderId="74" xfId="0" applyNumberFormat="1" applyFont="1" applyFill="1" applyBorder="1" applyAlignment="1">
      <alignment horizontal="center" vertical="top" wrapText="1"/>
    </xf>
    <xf numFmtId="0" fontId="14" fillId="0" borderId="74" xfId="0" applyFont="1" applyBorder="1" applyAlignment="1">
      <alignment horizontal="center" vertical="top" wrapText="1"/>
    </xf>
    <xf numFmtId="0" fontId="17" fillId="10" borderId="4" xfId="0" applyFont="1" applyFill="1" applyBorder="1" applyAlignment="1">
      <alignment horizontal="center" vertical="center" wrapText="1"/>
    </xf>
    <xf numFmtId="0" fontId="15" fillId="0" borderId="20" xfId="0" applyFont="1" applyBorder="1" applyAlignment="1">
      <alignment horizontal="center" vertical="center" wrapText="1"/>
    </xf>
    <xf numFmtId="0" fontId="17" fillId="13" borderId="20" xfId="0" applyFont="1" applyFill="1" applyBorder="1" applyAlignment="1">
      <alignment horizontal="center" vertical="center" wrapText="1"/>
    </xf>
    <xf numFmtId="0" fontId="17" fillId="13" borderId="4" xfId="0" applyFont="1" applyFill="1" applyBorder="1" applyAlignment="1">
      <alignment horizontal="center" vertical="center" wrapText="1"/>
    </xf>
    <xf numFmtId="0" fontId="14" fillId="0" borderId="49" xfId="0" applyFont="1" applyBorder="1" applyAlignment="1">
      <alignment vertical="top" wrapText="1"/>
    </xf>
    <xf numFmtId="0" fontId="17" fillId="13" borderId="20" xfId="0" applyFont="1" applyFill="1" applyBorder="1" applyAlignment="1">
      <alignment horizontal="left" vertical="top" wrapText="1"/>
    </xf>
    <xf numFmtId="0" fontId="17" fillId="13" borderId="4" xfId="0" applyFont="1" applyFill="1" applyBorder="1" applyAlignment="1">
      <alignment horizontal="left" vertical="top" wrapText="1"/>
    </xf>
    <xf numFmtId="0" fontId="17" fillId="10" borderId="4" xfId="0" applyFont="1" applyFill="1" applyBorder="1" applyAlignment="1">
      <alignment horizontal="left" vertical="top" wrapText="1"/>
    </xf>
    <xf numFmtId="0" fontId="14" fillId="0" borderId="59" xfId="0" applyFont="1" applyFill="1" applyBorder="1" applyAlignment="1">
      <alignment vertical="top" wrapText="1"/>
    </xf>
    <xf numFmtId="0" fontId="14" fillId="0" borderId="87" xfId="0" applyFont="1" applyBorder="1" applyAlignment="1">
      <alignment horizontal="left" vertical="top" wrapText="1"/>
    </xf>
    <xf numFmtId="1" fontId="14" fillId="2" borderId="87" xfId="0" applyNumberFormat="1" applyFont="1" applyFill="1" applyBorder="1" applyAlignment="1">
      <alignment horizontal="center" vertical="top"/>
    </xf>
    <xf numFmtId="1" fontId="14" fillId="11" borderId="40" xfId="0" applyNumberFormat="1" applyFont="1" applyFill="1" applyBorder="1" applyAlignment="1" applyProtection="1">
      <alignment horizontal="left" vertical="top" wrapText="1"/>
      <protection hidden="1"/>
    </xf>
    <xf numFmtId="1" fontId="14" fillId="11" borderId="20" xfId="0" applyNumberFormat="1" applyFont="1" applyFill="1" applyBorder="1" applyAlignment="1" applyProtection="1">
      <alignment horizontal="left" vertical="top" wrapText="1"/>
      <protection hidden="1"/>
    </xf>
    <xf numFmtId="0" fontId="47" fillId="0" borderId="41" xfId="0" applyFont="1" applyBorder="1" applyAlignment="1">
      <alignment vertical="top" wrapText="1"/>
    </xf>
    <xf numFmtId="1" fontId="14" fillId="11" borderId="31" xfId="0" applyNumberFormat="1" applyFont="1" applyFill="1" applyBorder="1" applyAlignment="1" applyProtection="1">
      <alignment horizontal="left" vertical="top" wrapText="1"/>
      <protection hidden="1"/>
    </xf>
    <xf numFmtId="0" fontId="14" fillId="2" borderId="51" xfId="0" applyFont="1" applyFill="1" applyBorder="1" applyAlignment="1" applyProtection="1">
      <alignment horizontal="center" vertical="top" wrapText="1"/>
      <protection hidden="1"/>
    </xf>
    <xf numFmtId="2" fontId="14" fillId="12" borderId="52" xfId="0" applyNumberFormat="1" applyFont="1" applyFill="1" applyBorder="1" applyAlignment="1">
      <alignment horizontal="center" vertical="top"/>
    </xf>
    <xf numFmtId="1" fontId="14" fillId="0" borderId="67" xfId="0" applyNumberFormat="1" applyFont="1" applyFill="1" applyBorder="1" applyAlignment="1" applyProtection="1">
      <alignment horizontal="left" vertical="top" wrapText="1"/>
      <protection hidden="1"/>
    </xf>
    <xf numFmtId="0" fontId="14" fillId="0" borderId="63" xfId="0" applyFont="1" applyFill="1" applyBorder="1" applyAlignment="1">
      <alignment vertical="top" wrapText="1"/>
    </xf>
    <xf numFmtId="0" fontId="14" fillId="0" borderId="60" xfId="0" applyFont="1" applyFill="1" applyBorder="1" applyAlignment="1">
      <alignment vertical="top" wrapText="1"/>
    </xf>
    <xf numFmtId="0" fontId="14" fillId="0" borderId="12" xfId="0" applyFont="1" applyBorder="1" applyAlignment="1">
      <alignment horizontal="left" vertical="top" wrapText="1"/>
    </xf>
    <xf numFmtId="0" fontId="14" fillId="0" borderId="87" xfId="0" applyFont="1" applyBorder="1" applyAlignment="1">
      <alignment vertical="top" wrapText="1"/>
    </xf>
    <xf numFmtId="0" fontId="14" fillId="0" borderId="77" xfId="0" applyFont="1" applyBorder="1" applyAlignment="1">
      <alignment vertical="top" wrapText="1"/>
    </xf>
    <xf numFmtId="0" fontId="15" fillId="0" borderId="20" xfId="0" applyFont="1" applyBorder="1" applyAlignment="1">
      <alignment vertical="top" wrapText="1"/>
    </xf>
    <xf numFmtId="0" fontId="14" fillId="0" borderId="50" xfId="0" applyFont="1" applyFill="1" applyBorder="1" applyAlignment="1" applyProtection="1">
      <alignment horizontal="left" vertical="top" wrapText="1"/>
      <protection hidden="1"/>
    </xf>
    <xf numFmtId="1" fontId="14" fillId="2" borderId="74" xfId="0" applyNumberFormat="1" applyFont="1" applyFill="1" applyBorder="1" applyAlignment="1" applyProtection="1">
      <alignment horizontal="center" vertical="top" wrapText="1"/>
      <protection hidden="1"/>
    </xf>
    <xf numFmtId="0" fontId="14" fillId="0" borderId="0" xfId="0" applyFont="1" applyFill="1" applyBorder="1" applyAlignment="1" applyProtection="1">
      <alignment horizontal="left" vertical="top" wrapText="1"/>
      <protection hidden="1"/>
    </xf>
    <xf numFmtId="1" fontId="14" fillId="2" borderId="12" xfId="0" applyNumberFormat="1" applyFont="1" applyFill="1" applyBorder="1" applyAlignment="1" applyProtection="1">
      <alignment horizontal="center" vertical="top" wrapText="1"/>
      <protection hidden="1"/>
    </xf>
    <xf numFmtId="1" fontId="14" fillId="2" borderId="39" xfId="0" applyNumberFormat="1" applyFont="1" applyFill="1" applyBorder="1" applyAlignment="1" applyProtection="1">
      <alignment horizontal="center" vertical="top" wrapText="1"/>
      <protection hidden="1"/>
    </xf>
    <xf numFmtId="0" fontId="14" fillId="2" borderId="46" xfId="0" applyFont="1" applyFill="1" applyBorder="1" applyAlignment="1" applyProtection="1">
      <alignment horizontal="center" vertical="top" wrapText="1"/>
      <protection hidden="1"/>
    </xf>
    <xf numFmtId="2" fontId="14" fillId="12" borderId="61" xfId="0" applyNumberFormat="1" applyFont="1" applyFill="1" applyBorder="1" applyAlignment="1">
      <alignment horizontal="center" vertical="top"/>
    </xf>
    <xf numFmtId="0" fontId="15" fillId="0" borderId="20" xfId="0" applyFont="1" applyBorder="1" applyAlignment="1">
      <alignment horizontal="left" vertical="top" wrapText="1"/>
    </xf>
    <xf numFmtId="1" fontId="14" fillId="11" borderId="13" xfId="0" applyNumberFormat="1" applyFont="1" applyFill="1" applyBorder="1" applyAlignment="1" applyProtection="1">
      <alignment horizontal="left" vertical="top" wrapText="1"/>
      <protection hidden="1"/>
    </xf>
    <xf numFmtId="1" fontId="14" fillId="0" borderId="6" xfId="0" applyNumberFormat="1" applyFont="1" applyFill="1" applyBorder="1" applyAlignment="1" applyProtection="1">
      <alignment horizontal="left" vertical="top" wrapText="1"/>
      <protection hidden="1"/>
    </xf>
    <xf numFmtId="0" fontId="14" fillId="0" borderId="6" xfId="0" applyFont="1" applyFill="1" applyBorder="1" applyAlignment="1" applyProtection="1">
      <alignment horizontal="left" vertical="top" wrapText="1"/>
      <protection hidden="1"/>
    </xf>
    <xf numFmtId="0" fontId="14" fillId="0" borderId="41" xfId="0" applyFont="1" applyBorder="1" applyAlignment="1">
      <alignment horizontal="left" vertical="top" wrapText="1"/>
    </xf>
    <xf numFmtId="0" fontId="47" fillId="11" borderId="26" xfId="0" applyFont="1" applyFill="1" applyBorder="1" applyAlignment="1">
      <alignment horizontal="left" vertical="top"/>
    </xf>
    <xf numFmtId="0" fontId="47" fillId="11" borderId="4" xfId="0" applyFont="1" applyFill="1" applyBorder="1" applyAlignment="1">
      <alignment horizontal="left" vertical="top"/>
    </xf>
    <xf numFmtId="1" fontId="14" fillId="0" borderId="4" xfId="0" applyNumberFormat="1" applyFont="1" applyFill="1" applyBorder="1" applyAlignment="1" applyProtection="1">
      <alignment horizontal="left" vertical="top" wrapText="1"/>
      <protection hidden="1"/>
    </xf>
    <xf numFmtId="0" fontId="14" fillId="0" borderId="46" xfId="0" applyFont="1" applyFill="1" applyBorder="1" applyAlignment="1" applyProtection="1">
      <alignment horizontal="left" vertical="top" wrapText="1"/>
      <protection hidden="1"/>
    </xf>
    <xf numFmtId="0" fontId="14" fillId="0" borderId="87" xfId="0" applyFont="1" applyFill="1" applyBorder="1" applyAlignment="1">
      <alignment vertical="top" wrapText="1"/>
    </xf>
    <xf numFmtId="49" fontId="14" fillId="0" borderId="41" xfId="0" applyNumberFormat="1" applyFont="1" applyBorder="1" applyAlignment="1">
      <alignment horizontal="left" vertical="top" wrapText="1"/>
    </xf>
    <xf numFmtId="49" fontId="14" fillId="0" borderId="12" xfId="0" applyNumberFormat="1" applyFont="1" applyBorder="1" applyAlignment="1">
      <alignment horizontal="left" vertical="top" wrapText="1"/>
    </xf>
    <xf numFmtId="49" fontId="14" fillId="0" borderId="74" xfId="0" applyNumberFormat="1" applyFont="1" applyBorder="1" applyAlignment="1">
      <alignment horizontal="left" vertical="top" wrapText="1"/>
    </xf>
    <xf numFmtId="1" fontId="14" fillId="8" borderId="73" xfId="0" applyNumberFormat="1" applyFont="1" applyFill="1" applyBorder="1" applyAlignment="1">
      <alignment horizontal="center" vertical="top" wrapText="1"/>
    </xf>
    <xf numFmtId="1" fontId="14" fillId="0" borderId="81" xfId="0" applyNumberFormat="1" applyFont="1" applyBorder="1" applyAlignment="1">
      <alignment horizontal="center" vertical="top" wrapText="1"/>
    </xf>
    <xf numFmtId="0" fontId="14" fillId="2" borderId="73" xfId="0" applyNumberFormat="1" applyFont="1" applyFill="1" applyBorder="1" applyAlignment="1">
      <alignment horizontal="center" vertical="top" wrapText="1"/>
    </xf>
    <xf numFmtId="2" fontId="14" fillId="2" borderId="72" xfId="0" applyNumberFormat="1" applyFont="1" applyFill="1" applyBorder="1" applyAlignment="1">
      <alignment horizontal="center" vertical="top" wrapText="1"/>
    </xf>
    <xf numFmtId="1" fontId="14" fillId="0" borderId="73" xfId="0" applyNumberFormat="1" applyFont="1" applyBorder="1" applyAlignment="1">
      <alignment horizontal="center" vertical="top" wrapText="1"/>
    </xf>
    <xf numFmtId="0" fontId="14" fillId="2" borderId="81" xfId="0" applyNumberFormat="1" applyFont="1" applyFill="1" applyBorder="1" applyAlignment="1">
      <alignment horizontal="center" vertical="top" wrapText="1"/>
    </xf>
    <xf numFmtId="1" fontId="14" fillId="2" borderId="72" xfId="0" applyNumberFormat="1" applyFont="1" applyFill="1" applyBorder="1" applyAlignment="1">
      <alignment horizontal="center" vertical="top" wrapText="1"/>
    </xf>
    <xf numFmtId="1" fontId="14" fillId="2" borderId="87" xfId="0" applyNumberFormat="1" applyFont="1" applyFill="1" applyBorder="1" applyAlignment="1">
      <alignment horizontal="center" vertical="top" wrapText="1"/>
    </xf>
    <xf numFmtId="49" fontId="14" fillId="0" borderId="44" xfId="0" applyNumberFormat="1" applyFont="1" applyBorder="1" applyAlignment="1">
      <alignment horizontal="left" vertical="top" wrapText="1"/>
    </xf>
    <xf numFmtId="0" fontId="47" fillId="0" borderId="67" xfId="0" applyFont="1" applyBorder="1" applyAlignment="1">
      <alignment vertical="top" wrapText="1"/>
    </xf>
    <xf numFmtId="0" fontId="14" fillId="2" borderId="78" xfId="0" applyNumberFormat="1"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6" xfId="0" applyFont="1" applyBorder="1" applyAlignment="1">
      <alignment horizontal="center" vertical="top" wrapText="1"/>
    </xf>
    <xf numFmtId="0" fontId="14" fillId="0" borderId="3" xfId="0" applyFont="1" applyBorder="1" applyAlignment="1">
      <alignment horizontal="center" vertical="top" wrapText="1"/>
    </xf>
    <xf numFmtId="1" fontId="14" fillId="11" borderId="8" xfId="0" applyNumberFormat="1" applyFont="1" applyFill="1" applyBorder="1" applyAlignment="1" applyProtection="1">
      <alignment horizontal="left" vertical="top" wrapText="1"/>
      <protection hidden="1"/>
    </xf>
    <xf numFmtId="0" fontId="14" fillId="0" borderId="44" xfId="0" applyFont="1" applyFill="1" applyBorder="1" applyAlignment="1">
      <alignment horizontal="left" vertical="top" wrapText="1"/>
    </xf>
    <xf numFmtId="1" fontId="14" fillId="0" borderId="68" xfId="0" applyNumberFormat="1" applyFont="1" applyFill="1" applyBorder="1" applyAlignment="1">
      <alignment horizontal="left" vertical="top" wrapText="1"/>
    </xf>
    <xf numFmtId="1" fontId="14" fillId="0" borderId="12" xfId="0" applyNumberFormat="1" applyFont="1" applyFill="1" applyBorder="1" applyAlignment="1">
      <alignment horizontal="left" vertical="top" wrapText="1"/>
    </xf>
    <xf numFmtId="1" fontId="14" fillId="0" borderId="74" xfId="0" applyNumberFormat="1" applyFont="1" applyFill="1" applyBorder="1" applyAlignment="1">
      <alignment horizontal="left" vertical="top" wrapText="1"/>
    </xf>
    <xf numFmtId="1" fontId="14" fillId="0" borderId="44" xfId="0" applyNumberFormat="1" applyFont="1" applyFill="1" applyBorder="1" applyAlignment="1">
      <alignment horizontal="left" vertical="top" wrapText="1"/>
    </xf>
    <xf numFmtId="1" fontId="14" fillId="0" borderId="41" xfId="0" applyNumberFormat="1" applyFont="1" applyFill="1" applyBorder="1" applyAlignment="1">
      <alignment vertical="top" wrapText="1"/>
    </xf>
    <xf numFmtId="1" fontId="14" fillId="0" borderId="87" xfId="0" applyNumberFormat="1" applyFont="1" applyFill="1" applyBorder="1" applyAlignment="1">
      <alignment vertical="top" wrapText="1"/>
    </xf>
    <xf numFmtId="1" fontId="14" fillId="0" borderId="41" xfId="0" applyNumberFormat="1" applyFont="1" applyFill="1" applyBorder="1" applyAlignment="1">
      <alignment horizontal="left" vertical="top" wrapText="1"/>
    </xf>
    <xf numFmtId="49" fontId="14" fillId="0" borderId="68" xfId="0" applyNumberFormat="1" applyFont="1" applyBorder="1" applyAlignment="1">
      <alignment horizontal="left" vertical="top" wrapText="1"/>
    </xf>
    <xf numFmtId="0" fontId="47" fillId="0" borderId="67" xfId="0" applyNumberFormat="1" applyFont="1" applyBorder="1" applyAlignment="1">
      <alignment horizontal="left" vertical="top" wrapText="1"/>
    </xf>
    <xf numFmtId="0" fontId="47" fillId="0" borderId="41" xfId="0" applyFont="1" applyBorder="1" applyAlignment="1">
      <alignment horizontal="left" vertical="top" wrapText="1"/>
    </xf>
    <xf numFmtId="0" fontId="14" fillId="0" borderId="66" xfId="0" applyFont="1" applyFill="1" applyBorder="1" applyAlignment="1">
      <alignment vertical="top" wrapText="1"/>
    </xf>
    <xf numFmtId="0" fontId="14" fillId="0" borderId="79" xfId="0" applyFont="1" applyFill="1" applyBorder="1" applyAlignment="1">
      <alignment vertical="top" wrapText="1"/>
    </xf>
    <xf numFmtId="2" fontId="15" fillId="0" borderId="0" xfId="0" applyNumberFormat="1" applyFont="1" applyFill="1" applyBorder="1" applyAlignment="1">
      <alignment vertical="top" wrapText="1"/>
    </xf>
    <xf numFmtId="0" fontId="15" fillId="0" borderId="20" xfId="0" applyFont="1" applyBorder="1" applyAlignment="1">
      <alignment wrapText="1"/>
    </xf>
    <xf numFmtId="1" fontId="14" fillId="2" borderId="3" xfId="0" applyNumberFormat="1" applyFont="1" applyFill="1" applyBorder="1" applyAlignment="1" applyProtection="1">
      <alignment horizontal="center" vertical="top" wrapText="1"/>
      <protection hidden="1"/>
    </xf>
    <xf numFmtId="0" fontId="14" fillId="2" borderId="3" xfId="0" applyFont="1" applyFill="1" applyBorder="1" applyAlignment="1" applyProtection="1">
      <alignment horizontal="center" vertical="top" wrapText="1"/>
      <protection hidden="1"/>
    </xf>
    <xf numFmtId="1" fontId="14" fillId="0" borderId="30" xfId="0" applyNumberFormat="1" applyFont="1" applyBorder="1" applyAlignment="1">
      <alignment vertical="top" wrapText="1"/>
    </xf>
    <xf numFmtId="1" fontId="14" fillId="0" borderId="39" xfId="0" applyNumberFormat="1" applyFont="1" applyBorder="1" applyAlignment="1">
      <alignment vertical="top" wrapText="1"/>
    </xf>
    <xf numFmtId="0" fontId="47" fillId="0" borderId="4" xfId="0" applyFont="1" applyFill="1" applyBorder="1" applyAlignment="1">
      <alignment horizontal="left" vertical="top" wrapText="1"/>
    </xf>
    <xf numFmtId="0" fontId="47" fillId="0" borderId="4" xfId="0" applyFont="1" applyBorder="1" applyAlignment="1">
      <alignment horizontal="left" vertical="top" wrapText="1"/>
    </xf>
    <xf numFmtId="1" fontId="47" fillId="0" borderId="4" xfId="0" applyNumberFormat="1" applyFont="1" applyFill="1" applyBorder="1" applyAlignment="1">
      <alignment horizontal="left" vertical="top" wrapText="1"/>
    </xf>
    <xf numFmtId="0" fontId="14" fillId="0" borderId="17" xfId="0" applyFont="1" applyFill="1" applyBorder="1" applyAlignment="1">
      <alignment horizontal="left" vertical="top"/>
    </xf>
    <xf numFmtId="0" fontId="14" fillId="0" borderId="82" xfId="0" applyFont="1" applyBorder="1" applyAlignment="1">
      <alignment horizontal="center" vertical="top" wrapText="1"/>
    </xf>
    <xf numFmtId="0" fontId="14" fillId="0" borderId="79" xfId="0" applyFont="1" applyBorder="1" applyAlignment="1">
      <alignment vertical="top" wrapText="1"/>
    </xf>
    <xf numFmtId="2" fontId="14" fillId="12" borderId="56" xfId="0" applyNumberFormat="1" applyFont="1" applyFill="1" applyBorder="1" applyAlignment="1">
      <alignment horizontal="center" vertical="top"/>
    </xf>
    <xf numFmtId="1" fontId="14" fillId="0" borderId="41" xfId="0" applyNumberFormat="1" applyFont="1" applyBorder="1" applyAlignment="1">
      <alignment horizontal="left" vertical="top" wrapText="1"/>
    </xf>
    <xf numFmtId="2" fontId="14" fillId="2" borderId="86" xfId="0" applyNumberFormat="1" applyFont="1" applyFill="1" applyBorder="1" applyAlignment="1">
      <alignment horizontal="center" vertical="top"/>
    </xf>
    <xf numFmtId="0" fontId="14" fillId="0" borderId="4" xfId="0" applyFont="1" applyBorder="1" applyAlignment="1">
      <alignment horizontal="left" vertical="top"/>
    </xf>
    <xf numFmtId="0" fontId="14" fillId="0" borderId="30" xfId="0" applyNumberFormat="1" applyFont="1" applyBorder="1" applyAlignment="1">
      <alignment horizontal="left" vertical="top" wrapText="1"/>
    </xf>
    <xf numFmtId="0" fontId="14" fillId="0" borderId="19" xfId="0" applyNumberFormat="1" applyFont="1" applyBorder="1" applyAlignment="1">
      <alignment horizontal="left" vertical="top" wrapText="1"/>
    </xf>
    <xf numFmtId="0" fontId="14" fillId="0" borderId="88" xfId="0" applyFont="1" applyFill="1" applyBorder="1" applyAlignment="1">
      <alignment horizontal="left" vertical="top" wrapText="1"/>
    </xf>
    <xf numFmtId="1" fontId="14" fillId="0" borderId="87" xfId="0" applyNumberFormat="1" applyFont="1" applyBorder="1" applyAlignment="1">
      <alignment horizontal="left" vertical="top" wrapText="1"/>
    </xf>
    <xf numFmtId="1" fontId="14" fillId="0" borderId="44" xfId="0" applyNumberFormat="1" applyFont="1" applyFill="1" applyBorder="1" applyAlignment="1">
      <alignment vertical="top" wrapText="1"/>
    </xf>
    <xf numFmtId="1" fontId="14" fillId="0" borderId="39" xfId="0" applyNumberFormat="1" applyFont="1" applyFill="1" applyBorder="1" applyAlignment="1">
      <alignment horizontal="left" vertical="top" wrapText="1"/>
    </xf>
    <xf numFmtId="1" fontId="14" fillId="0" borderId="87" xfId="0" applyNumberFormat="1" applyFont="1" applyFill="1" applyBorder="1" applyAlignment="1">
      <alignment horizontal="left" vertical="top" wrapText="1"/>
    </xf>
    <xf numFmtId="0" fontId="14" fillId="0" borderId="4" xfId="0" applyNumberFormat="1" applyFont="1" applyFill="1" applyBorder="1" applyAlignment="1">
      <alignment horizontal="left" vertical="top" wrapText="1"/>
    </xf>
    <xf numFmtId="0" fontId="14" fillId="0" borderId="4" xfId="0" applyNumberFormat="1" applyFont="1" applyBorder="1" applyAlignment="1">
      <alignment horizontal="left" vertical="top" wrapText="1"/>
    </xf>
    <xf numFmtId="0" fontId="14" fillId="0" borderId="40" xfId="0" applyNumberFormat="1" applyFont="1" applyBorder="1" applyAlignment="1">
      <alignment horizontal="left" vertical="top" wrapText="1"/>
    </xf>
    <xf numFmtId="1" fontId="14" fillId="0" borderId="12" xfId="0" applyNumberFormat="1" applyFont="1" applyFill="1" applyBorder="1" applyAlignment="1">
      <alignment horizontal="center" vertical="top" wrapText="1"/>
    </xf>
    <xf numFmtId="2" fontId="14" fillId="12" borderId="13" xfId="0" applyNumberFormat="1" applyFont="1" applyFill="1" applyBorder="1" applyAlignment="1">
      <alignment horizontal="center" vertical="top" wrapText="1"/>
    </xf>
    <xf numFmtId="1" fontId="14" fillId="0" borderId="39" xfId="0" applyNumberFormat="1" applyFont="1" applyFill="1" applyBorder="1" applyAlignment="1">
      <alignment horizontal="center" vertical="top" wrapText="1"/>
    </xf>
    <xf numFmtId="0" fontId="47" fillId="0" borderId="26" xfId="0" applyFont="1" applyBorder="1" applyAlignment="1">
      <alignment horizontal="left" vertical="top"/>
    </xf>
    <xf numFmtId="0" fontId="14" fillId="0" borderId="0" xfId="0" applyNumberFormat="1" applyFont="1" applyBorder="1" applyAlignment="1">
      <alignment horizontal="left" vertical="top" wrapText="1"/>
    </xf>
    <xf numFmtId="1" fontId="14" fillId="0" borderId="0" xfId="0" applyNumberFormat="1" applyFont="1" applyBorder="1" applyAlignment="1">
      <alignment vertical="top" wrapText="1"/>
    </xf>
    <xf numFmtId="0" fontId="14" fillId="2" borderId="6" xfId="0" applyNumberFormat="1" applyFont="1" applyFill="1" applyBorder="1" applyAlignment="1">
      <alignment horizontal="center" vertical="top" wrapText="1"/>
    </xf>
    <xf numFmtId="2" fontId="14" fillId="3" borderId="57" xfId="0" applyNumberFormat="1" applyFont="1" applyFill="1" applyBorder="1" applyAlignment="1">
      <alignment horizontal="center" vertical="top" wrapText="1"/>
    </xf>
    <xf numFmtId="0" fontId="47" fillId="0" borderId="4" xfId="0" applyFont="1" applyFill="1" applyBorder="1" applyAlignment="1">
      <alignment vertical="top" wrapText="1"/>
    </xf>
    <xf numFmtId="0" fontId="14" fillId="0" borderId="87" xfId="0" applyFont="1" applyBorder="1" applyAlignment="1">
      <alignment horizontal="center" vertical="top" wrapText="1"/>
    </xf>
    <xf numFmtId="0" fontId="14" fillId="0" borderId="82" xfId="0" applyFont="1" applyFill="1" applyBorder="1" applyAlignment="1">
      <alignment horizontal="center" vertical="top" wrapText="1"/>
    </xf>
    <xf numFmtId="0" fontId="14" fillId="0" borderId="77" xfId="0" applyFont="1" applyFill="1" applyBorder="1" applyAlignment="1">
      <alignment vertical="top" wrapText="1"/>
    </xf>
    <xf numFmtId="0" fontId="14" fillId="0" borderId="44" xfId="0" applyFont="1" applyFill="1" applyBorder="1" applyAlignment="1">
      <alignment horizontal="center" vertical="top" wrapText="1"/>
    </xf>
    <xf numFmtId="1" fontId="41" fillId="0" borderId="20" xfId="0" applyNumberFormat="1" applyFont="1" applyBorder="1" applyAlignment="1">
      <alignment horizontal="center" vertical="top"/>
    </xf>
    <xf numFmtId="1" fontId="14" fillId="11" borderId="12" xfId="0" applyNumberFormat="1" applyFont="1" applyFill="1" applyBorder="1" applyAlignment="1">
      <alignment horizontal="left" vertical="top" wrapText="1"/>
    </xf>
    <xf numFmtId="0" fontId="52" fillId="0" borderId="26" xfId="0" applyFont="1" applyFill="1" applyBorder="1" applyAlignment="1">
      <alignment horizontal="left" vertical="top" wrapText="1"/>
    </xf>
    <xf numFmtId="1" fontId="14" fillId="11" borderId="39" xfId="0" applyNumberFormat="1" applyFont="1" applyFill="1" applyBorder="1" applyAlignment="1">
      <alignment horizontal="left" vertical="top" wrapText="1"/>
    </xf>
    <xf numFmtId="0" fontId="52" fillId="0" borderId="26" xfId="0" applyNumberFormat="1" applyFont="1" applyFill="1" applyBorder="1" applyAlignment="1">
      <alignment horizontal="left" vertical="top" wrapText="1"/>
    </xf>
    <xf numFmtId="2" fontId="14" fillId="12" borderId="46" xfId="0" applyNumberFormat="1" applyFont="1" applyFill="1" applyBorder="1" applyAlignment="1">
      <alignment horizontal="center" vertical="top" wrapText="1"/>
    </xf>
    <xf numFmtId="0" fontId="14" fillId="2" borderId="13" xfId="0" applyFont="1" applyFill="1" applyBorder="1" applyAlignment="1" applyProtection="1">
      <alignment horizontal="center" vertical="top" wrapText="1"/>
      <protection hidden="1"/>
    </xf>
    <xf numFmtId="2" fontId="14" fillId="2" borderId="87" xfId="0" applyNumberFormat="1" applyFont="1" applyFill="1" applyBorder="1" applyAlignment="1">
      <alignment horizontal="center" vertical="top"/>
    </xf>
    <xf numFmtId="2" fontId="14" fillId="2" borderId="3" xfId="0" applyNumberFormat="1" applyFont="1" applyFill="1" applyBorder="1" applyAlignment="1">
      <alignment horizontal="center" vertical="top"/>
    </xf>
    <xf numFmtId="1" fontId="14" fillId="2" borderId="6" xfId="0" applyNumberFormat="1" applyFont="1" applyFill="1" applyBorder="1" applyAlignment="1">
      <alignment horizontal="center" vertical="top"/>
    </xf>
    <xf numFmtId="2" fontId="14" fillId="2" borderId="46" xfId="0" applyNumberFormat="1" applyFont="1" applyFill="1" applyBorder="1" applyAlignment="1" applyProtection="1">
      <alignment horizontal="center" vertical="top" wrapText="1"/>
    </xf>
    <xf numFmtId="2" fontId="47" fillId="0" borderId="41" xfId="0" applyNumberFormat="1" applyFont="1" applyFill="1" applyBorder="1" applyAlignment="1">
      <alignment vertical="top" wrapText="1"/>
    </xf>
    <xf numFmtId="2" fontId="47" fillId="0" borderId="87" xfId="0" applyNumberFormat="1" applyFont="1" applyFill="1" applyBorder="1" applyAlignment="1">
      <alignment vertical="top" wrapText="1"/>
    </xf>
    <xf numFmtId="2" fontId="47" fillId="0" borderId="82" xfId="0" applyNumberFormat="1" applyFont="1" applyFill="1" applyBorder="1" applyAlignment="1">
      <alignment vertical="top" wrapText="1"/>
    </xf>
    <xf numFmtId="2" fontId="47" fillId="0" borderId="44" xfId="0" applyNumberFormat="1" applyFont="1" applyFill="1" applyBorder="1" applyAlignment="1">
      <alignment vertical="top" wrapText="1"/>
    </xf>
    <xf numFmtId="2" fontId="47" fillId="0" borderId="68" xfId="0" applyNumberFormat="1" applyFont="1" applyBorder="1" applyAlignment="1">
      <alignment vertical="top" wrapText="1"/>
    </xf>
    <xf numFmtId="1" fontId="47" fillId="0" borderId="12" xfId="0" applyNumberFormat="1" applyFont="1" applyFill="1" applyBorder="1" applyAlignment="1">
      <alignment vertical="top" wrapText="1"/>
    </xf>
    <xf numFmtId="1" fontId="47" fillId="0" borderId="87" xfId="0" applyNumberFormat="1" applyFont="1" applyBorder="1" applyAlignment="1">
      <alignment vertical="top" wrapText="1"/>
    </xf>
    <xf numFmtId="1" fontId="47" fillId="0" borderId="82" xfId="0" applyNumberFormat="1" applyFont="1" applyBorder="1" applyAlignment="1">
      <alignment vertical="top" wrapText="1"/>
    </xf>
    <xf numFmtId="2" fontId="47" fillId="0" borderId="87" xfId="0" applyNumberFormat="1" applyFont="1" applyBorder="1" applyAlignment="1">
      <alignment vertical="top" wrapText="1"/>
    </xf>
    <xf numFmtId="2" fontId="47" fillId="0" borderId="82" xfId="0" applyNumberFormat="1" applyFont="1" applyBorder="1" applyAlignment="1">
      <alignment vertical="top" wrapText="1"/>
    </xf>
    <xf numFmtId="2" fontId="47" fillId="0" borderId="74" xfId="0" applyNumberFormat="1" applyFont="1" applyBorder="1" applyAlignment="1">
      <alignment vertical="top" wrapText="1"/>
    </xf>
    <xf numFmtId="2" fontId="47" fillId="0" borderId="41" xfId="0" applyNumberFormat="1" applyFont="1" applyBorder="1" applyAlignment="1">
      <alignment vertical="top" wrapText="1"/>
    </xf>
    <xf numFmtId="2" fontId="47" fillId="0" borderId="44" xfId="0" applyNumberFormat="1" applyFont="1" applyBorder="1" applyAlignment="1">
      <alignment vertical="top" wrapText="1"/>
    </xf>
    <xf numFmtId="2" fontId="47" fillId="0" borderId="12" xfId="0" applyNumberFormat="1" applyFont="1" applyFill="1" applyBorder="1" applyAlignment="1">
      <alignment vertical="top" wrapText="1"/>
    </xf>
    <xf numFmtId="2" fontId="47" fillId="0" borderId="74" xfId="0" applyNumberFormat="1" applyFont="1" applyFill="1" applyBorder="1" applyAlignment="1">
      <alignment vertical="top" wrapText="1"/>
    </xf>
    <xf numFmtId="2" fontId="47" fillId="0" borderId="68" xfId="0" applyNumberFormat="1" applyFont="1" applyFill="1" applyBorder="1" applyAlignment="1">
      <alignment vertical="top" wrapText="1"/>
    </xf>
    <xf numFmtId="2" fontId="47" fillId="0" borderId="82" xfId="0" applyNumberFormat="1" applyFont="1" applyFill="1" applyBorder="1" applyAlignment="1">
      <alignment horizontal="left" vertical="top" wrapText="1"/>
    </xf>
    <xf numFmtId="2" fontId="47" fillId="0" borderId="44" xfId="0" applyNumberFormat="1" applyFont="1" applyFill="1" applyBorder="1" applyAlignment="1">
      <alignment horizontal="left" vertical="top" wrapText="1"/>
    </xf>
    <xf numFmtId="1" fontId="47" fillId="0" borderId="68" xfId="0" applyNumberFormat="1" applyFont="1" applyBorder="1" applyAlignment="1">
      <alignment vertical="top" wrapText="1"/>
    </xf>
    <xf numFmtId="1" fontId="47" fillId="0" borderId="74" xfId="0" applyNumberFormat="1" applyFont="1" applyBorder="1" applyAlignment="1">
      <alignment vertical="top" wrapText="1"/>
    </xf>
    <xf numFmtId="1" fontId="47" fillId="0" borderId="81" xfId="0" applyNumberFormat="1" applyFont="1" applyBorder="1" applyAlignment="1">
      <alignment horizontal="center" vertical="top" wrapText="1"/>
    </xf>
    <xf numFmtId="1" fontId="47" fillId="0" borderId="73" xfId="0" applyNumberFormat="1" applyFont="1" applyBorder="1" applyAlignment="1">
      <alignment horizontal="center" vertical="top" wrapText="1"/>
    </xf>
    <xf numFmtId="2" fontId="47" fillId="0" borderId="35" xfId="0" applyNumberFormat="1" applyFont="1" applyFill="1" applyBorder="1" applyAlignment="1">
      <alignment vertical="top" wrapText="1"/>
    </xf>
    <xf numFmtId="2" fontId="45" fillId="12" borderId="13" xfId="0" applyNumberFormat="1" applyFont="1" applyFill="1" applyBorder="1" applyAlignment="1" applyProtection="1">
      <alignment horizontal="center" vertical="top" wrapText="1"/>
      <protection hidden="1"/>
    </xf>
    <xf numFmtId="2" fontId="47" fillId="0" borderId="87" xfId="0" applyNumberFormat="1" applyFont="1" applyFill="1" applyBorder="1" applyAlignment="1">
      <alignment horizontal="left" vertical="top" wrapText="1"/>
    </xf>
    <xf numFmtId="0" fontId="14" fillId="0" borderId="74" xfId="0" applyFont="1" applyFill="1" applyBorder="1" applyAlignment="1">
      <alignment horizontal="left" vertical="top" wrapText="1"/>
    </xf>
    <xf numFmtId="1" fontId="14" fillId="0" borderId="49" xfId="0" applyNumberFormat="1" applyFont="1" applyFill="1" applyBorder="1" applyAlignment="1">
      <alignment horizontal="left" vertical="top" wrapText="1"/>
    </xf>
    <xf numFmtId="1" fontId="14" fillId="2" borderId="45" xfId="0" applyNumberFormat="1" applyFont="1" applyFill="1" applyBorder="1" applyAlignment="1" applyProtection="1">
      <alignment horizontal="center" vertical="top" wrapText="1"/>
      <protection hidden="1"/>
    </xf>
    <xf numFmtId="0" fontId="14" fillId="2" borderId="45" xfId="0" applyFont="1" applyFill="1" applyBorder="1" applyAlignment="1" applyProtection="1">
      <alignment horizontal="center" vertical="top" wrapText="1"/>
      <protection hidden="1"/>
    </xf>
    <xf numFmtId="2" fontId="14" fillId="12" borderId="53" xfId="0" applyNumberFormat="1" applyFont="1" applyFill="1" applyBorder="1" applyAlignment="1">
      <alignment horizontal="center" vertical="top"/>
    </xf>
    <xf numFmtId="2" fontId="14" fillId="12" borderId="47" xfId="0" applyNumberFormat="1" applyFont="1" applyFill="1" applyBorder="1" applyAlignment="1">
      <alignment horizontal="center" vertical="top" wrapText="1"/>
    </xf>
    <xf numFmtId="0" fontId="47" fillId="0" borderId="30" xfId="0" applyFont="1" applyFill="1" applyBorder="1" applyAlignment="1">
      <alignment horizontal="left" vertical="top"/>
    </xf>
    <xf numFmtId="1" fontId="14" fillId="11" borderId="19" xfId="0" applyNumberFormat="1" applyFont="1" applyFill="1" applyBorder="1" applyAlignment="1" applyProtection="1">
      <alignment horizontal="left" vertical="top" wrapText="1"/>
      <protection hidden="1"/>
    </xf>
    <xf numFmtId="0" fontId="14" fillId="0" borderId="30" xfId="0" applyFont="1" applyBorder="1" applyAlignment="1">
      <alignment horizontal="left" vertical="top" wrapText="1"/>
    </xf>
    <xf numFmtId="0" fontId="14" fillId="0" borderId="57" xfId="0" applyFont="1" applyFill="1" applyBorder="1" applyAlignment="1">
      <alignment vertical="top"/>
    </xf>
    <xf numFmtId="2" fontId="14" fillId="0" borderId="30" xfId="0" applyNumberFormat="1" applyFont="1" applyFill="1" applyBorder="1" applyAlignment="1">
      <alignment vertical="top" wrapText="1"/>
    </xf>
    <xf numFmtId="0" fontId="47" fillId="0" borderId="30" xfId="0" applyFont="1" applyFill="1" applyBorder="1" applyAlignment="1">
      <alignment vertical="top"/>
    </xf>
    <xf numFmtId="0" fontId="47" fillId="0" borderId="57" xfId="0" applyFont="1" applyFill="1" applyBorder="1" applyAlignment="1">
      <alignment vertical="top" wrapText="1"/>
    </xf>
    <xf numFmtId="0" fontId="47" fillId="0" borderId="30" xfId="0" applyFont="1" applyFill="1" applyBorder="1" applyAlignment="1">
      <alignment vertical="top" wrapText="1"/>
    </xf>
    <xf numFmtId="0" fontId="47" fillId="0" borderId="57" xfId="0" applyFont="1" applyFill="1" applyBorder="1" applyAlignment="1">
      <alignment vertical="top"/>
    </xf>
    <xf numFmtId="1" fontId="14" fillId="11" borderId="26" xfId="0" applyNumberFormat="1" applyFont="1" applyFill="1" applyBorder="1" applyAlignment="1" applyProtection="1">
      <alignment vertical="top" wrapText="1"/>
      <protection hidden="1"/>
    </xf>
    <xf numFmtId="1" fontId="14" fillId="11" borderId="4" xfId="0" applyNumberFormat="1" applyFont="1" applyFill="1" applyBorder="1" applyAlignment="1" applyProtection="1">
      <alignment vertical="top" wrapText="1"/>
      <protection hidden="1"/>
    </xf>
    <xf numFmtId="1" fontId="14" fillId="11" borderId="40" xfId="0" applyNumberFormat="1" applyFont="1" applyFill="1" applyBorder="1" applyAlignment="1" applyProtection="1">
      <alignment vertical="top" wrapText="1"/>
      <protection hidden="1"/>
    </xf>
    <xf numFmtId="0" fontId="19" fillId="4" borderId="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77" xfId="0" applyFont="1" applyFill="1" applyBorder="1" applyAlignment="1">
      <alignment horizontal="left" vertical="top" wrapText="1"/>
    </xf>
    <xf numFmtId="0" fontId="14" fillId="0" borderId="77" xfId="0" applyFont="1" applyBorder="1" applyAlignment="1">
      <alignment horizontal="left" vertical="top" wrapText="1"/>
    </xf>
    <xf numFmtId="0" fontId="14" fillId="0" borderId="39" xfId="0" applyFont="1" applyBorder="1" applyAlignment="1">
      <alignment horizontal="left" vertical="top" wrapText="1"/>
    </xf>
    <xf numFmtId="0" fontId="19" fillId="4" borderId="20" xfId="0" applyFont="1" applyFill="1" applyBorder="1" applyAlignment="1">
      <alignment horizontal="left" vertical="top" wrapText="1"/>
    </xf>
    <xf numFmtId="0" fontId="41" fillId="0" borderId="20" xfId="0" applyFont="1" applyBorder="1" applyAlignment="1">
      <alignment horizontal="center" vertical="top"/>
    </xf>
    <xf numFmtId="0" fontId="14" fillId="2" borderId="72" xfId="0" applyFont="1" applyFill="1" applyBorder="1" applyAlignment="1">
      <alignment horizontal="center" vertical="top" wrapText="1"/>
    </xf>
    <xf numFmtId="0" fontId="14" fillId="2" borderId="42" xfId="0" applyFont="1" applyFill="1" applyBorder="1" applyAlignment="1">
      <alignment horizontal="center" vertical="top" wrapText="1"/>
    </xf>
    <xf numFmtId="0" fontId="19" fillId="4" borderId="31" xfId="0" applyFont="1" applyFill="1" applyBorder="1" applyAlignment="1">
      <alignment horizontal="left" vertical="top" wrapText="1"/>
    </xf>
    <xf numFmtId="0" fontId="14" fillId="2" borderId="73" xfId="0" applyFont="1" applyFill="1" applyBorder="1" applyAlignment="1">
      <alignment horizontal="center" vertical="top" wrapText="1"/>
    </xf>
    <xf numFmtId="0" fontId="14" fillId="0" borderId="39" xfId="0" applyFont="1" applyFill="1" applyBorder="1" applyAlignment="1">
      <alignment horizontal="left" vertical="top" wrapText="1"/>
    </xf>
    <xf numFmtId="0" fontId="14" fillId="2" borderId="78" xfId="0" applyFont="1" applyFill="1" applyBorder="1" applyAlignment="1">
      <alignment horizontal="center" vertical="top" wrapText="1"/>
    </xf>
    <xf numFmtId="0" fontId="14" fillId="2" borderId="81" xfId="0" applyFont="1" applyFill="1" applyBorder="1" applyAlignment="1">
      <alignment horizontal="center" vertical="top" wrapText="1"/>
    </xf>
    <xf numFmtId="0" fontId="14" fillId="2" borderId="84" xfId="0" applyFont="1" applyFill="1" applyBorder="1" applyAlignment="1">
      <alignment horizontal="center" vertical="top" wrapText="1"/>
    </xf>
    <xf numFmtId="0" fontId="47" fillId="0" borderId="37" xfId="0" applyFont="1" applyBorder="1" applyAlignment="1">
      <alignment horizontal="left" vertical="top" wrapText="1"/>
    </xf>
    <xf numFmtId="0" fontId="47" fillId="0" borderId="57" xfId="0" applyFont="1" applyBorder="1" applyAlignment="1">
      <alignment horizontal="left" vertical="top"/>
    </xf>
    <xf numFmtId="0" fontId="47" fillId="0" borderId="0" xfId="0" applyFont="1" applyAlignment="1">
      <alignment vertical="top"/>
    </xf>
    <xf numFmtId="0" fontId="47" fillId="0" borderId="0" xfId="0" applyFont="1" applyAlignment="1">
      <alignment horizontal="left" vertical="top"/>
    </xf>
    <xf numFmtId="2" fontId="47" fillId="0" borderId="0" xfId="0" applyNumberFormat="1" applyFont="1" applyAlignment="1">
      <alignment horizontal="right" vertical="top"/>
    </xf>
    <xf numFmtId="0" fontId="14" fillId="0" borderId="21" xfId="0" applyFont="1" applyBorder="1" applyAlignment="1">
      <alignment vertical="top" wrapText="1"/>
    </xf>
    <xf numFmtId="0" fontId="14" fillId="0" borderId="21" xfId="0" applyFont="1" applyBorder="1" applyAlignment="1">
      <alignment horizontal="left" vertical="top" wrapText="1"/>
    </xf>
    <xf numFmtId="0" fontId="14" fillId="0" borderId="0" xfId="0" applyFont="1" applyBorder="1" applyAlignment="1">
      <alignment horizontal="center" vertical="top" wrapText="1"/>
    </xf>
    <xf numFmtId="0" fontId="14" fillId="0" borderId="0" xfId="0" applyFont="1" applyAlignment="1">
      <alignment horizontal="center" vertical="top" wrapText="1"/>
    </xf>
    <xf numFmtId="0" fontId="14" fillId="0" borderId="87" xfId="0" applyFont="1" applyFill="1" applyBorder="1" applyAlignment="1">
      <alignment horizontal="left" vertical="top" wrapText="1"/>
    </xf>
    <xf numFmtId="0" fontId="14" fillId="0" borderId="82" xfId="0" applyFont="1" applyFill="1" applyBorder="1" applyAlignment="1">
      <alignment horizontal="left" vertical="top" wrapText="1"/>
    </xf>
    <xf numFmtId="1" fontId="14" fillId="0" borderId="0" xfId="0" applyNumberFormat="1" applyFont="1" applyAlignment="1">
      <alignment horizontal="center" vertical="top" wrapText="1"/>
    </xf>
    <xf numFmtId="0" fontId="14" fillId="0" borderId="0" xfId="0" applyFont="1" applyAlignment="1">
      <alignment horizontal="center" vertical="top"/>
    </xf>
    <xf numFmtId="1" fontId="14" fillId="0" borderId="0" xfId="0" applyNumberFormat="1" applyFont="1" applyBorder="1" applyAlignment="1">
      <alignment horizontal="center" vertical="top" wrapText="1"/>
    </xf>
    <xf numFmtId="0" fontId="32" fillId="0" borderId="0" xfId="0" applyFont="1" applyAlignment="1">
      <alignment horizontal="center" vertical="top"/>
    </xf>
    <xf numFmtId="1" fontId="14" fillId="2" borderId="84" xfId="0" applyNumberFormat="1" applyFont="1" applyFill="1" applyBorder="1" applyAlignment="1">
      <alignment horizontal="center" vertical="top" wrapText="1"/>
    </xf>
    <xf numFmtId="2" fontId="14" fillId="9" borderId="4" xfId="0" applyNumberFormat="1" applyFont="1" applyFill="1" applyBorder="1" applyAlignment="1">
      <alignment horizontal="center" vertical="top" wrapText="1"/>
    </xf>
    <xf numFmtId="0" fontId="14" fillId="0" borderId="0" xfId="0" applyFont="1" applyBorder="1" applyAlignment="1" applyProtection="1">
      <alignment vertical="top" wrapText="1"/>
      <protection hidden="1"/>
    </xf>
    <xf numFmtId="1" fontId="14" fillId="0" borderId="82" xfId="0" applyNumberFormat="1" applyFont="1" applyFill="1" applyBorder="1" applyAlignment="1">
      <alignment horizontal="center" vertical="top" wrapText="1"/>
    </xf>
    <xf numFmtId="0" fontId="14" fillId="2" borderId="87" xfId="0" applyNumberFormat="1" applyFont="1" applyFill="1" applyBorder="1" applyAlignment="1">
      <alignment horizontal="center" vertical="top" wrapText="1"/>
    </xf>
    <xf numFmtId="49" fontId="14" fillId="0" borderId="6" xfId="0" applyNumberFormat="1" applyFont="1" applyBorder="1" applyAlignment="1">
      <alignment horizontal="center" vertical="top" wrapText="1"/>
    </xf>
    <xf numFmtId="49" fontId="14" fillId="0" borderId="73" xfId="0" applyNumberFormat="1" applyFont="1" applyBorder="1" applyAlignment="1">
      <alignment horizontal="center" vertical="top" wrapText="1"/>
    </xf>
    <xf numFmtId="0" fontId="14" fillId="0" borderId="0" xfId="0" applyFont="1" applyFill="1" applyBorder="1" applyAlignment="1" applyProtection="1">
      <alignment vertical="top" wrapText="1"/>
      <protection hidden="1"/>
    </xf>
    <xf numFmtId="2" fontId="14" fillId="4" borderId="61" xfId="0" applyNumberFormat="1" applyFont="1" applyFill="1" applyBorder="1" applyAlignment="1">
      <alignment horizontal="center" vertical="top" wrapText="1"/>
    </xf>
    <xf numFmtId="2" fontId="14" fillId="2" borderId="47" xfId="0" applyNumberFormat="1" applyFont="1" applyFill="1" applyBorder="1" applyAlignment="1" applyProtection="1">
      <alignment horizontal="center" vertical="top" wrapText="1"/>
    </xf>
    <xf numFmtId="1" fontId="14" fillId="0" borderId="67" xfId="0" applyNumberFormat="1" applyFont="1" applyBorder="1" applyAlignment="1">
      <alignment vertical="top" wrapText="1"/>
    </xf>
    <xf numFmtId="0" fontId="47" fillId="0" borderId="59" xfId="0" applyFont="1" applyFill="1" applyBorder="1" applyAlignment="1">
      <alignment vertical="top" wrapText="1"/>
    </xf>
    <xf numFmtId="0" fontId="47" fillId="0" borderId="0" xfId="0" applyNumberFormat="1" applyFont="1" applyFill="1" applyBorder="1" applyAlignment="1">
      <alignment vertical="top" wrapText="1"/>
    </xf>
    <xf numFmtId="1" fontId="14" fillId="2" borderId="51" xfId="0" applyNumberFormat="1" applyFont="1" applyFill="1" applyBorder="1" applyAlignment="1">
      <alignment horizontal="center" vertical="top"/>
    </xf>
    <xf numFmtId="1" fontId="14" fillId="0" borderId="0" xfId="0" applyNumberFormat="1" applyFont="1" applyAlignment="1" applyProtection="1">
      <alignment vertical="top"/>
      <protection hidden="1"/>
    </xf>
    <xf numFmtId="1" fontId="14" fillId="0" borderId="0" xfId="0" applyNumberFormat="1" applyFont="1" applyBorder="1" applyAlignment="1" applyProtection="1">
      <alignment vertical="top"/>
      <protection hidden="1"/>
    </xf>
    <xf numFmtId="2" fontId="14" fillId="0" borderId="0" xfId="0" applyNumberFormat="1" applyFont="1" applyFill="1" applyBorder="1" applyAlignment="1">
      <alignment vertical="top" wrapText="1"/>
    </xf>
    <xf numFmtId="2" fontId="14" fillId="0" borderId="67" xfId="0" applyNumberFormat="1" applyFont="1" applyFill="1" applyBorder="1" applyAlignment="1">
      <alignment vertical="top" wrapText="1"/>
    </xf>
    <xf numFmtId="0" fontId="47" fillId="0" borderId="67" xfId="0" applyNumberFormat="1" applyFont="1" applyFill="1" applyBorder="1" applyAlignment="1">
      <alignment vertical="top" wrapText="1"/>
    </xf>
    <xf numFmtId="0" fontId="46" fillId="0" borderId="0" xfId="0" applyFont="1" applyFill="1" applyBorder="1" applyAlignment="1">
      <alignment horizontal="left" vertical="top"/>
    </xf>
    <xf numFmtId="2" fontId="14" fillId="0" borderId="0" xfId="0" applyNumberFormat="1" applyFont="1" applyFill="1" applyBorder="1" applyAlignment="1">
      <alignment horizontal="right" vertical="top"/>
    </xf>
    <xf numFmtId="2" fontId="14" fillId="0" borderId="0" xfId="0" applyNumberFormat="1" applyFont="1" applyFill="1" applyAlignment="1">
      <alignment horizontal="right" vertical="top"/>
    </xf>
    <xf numFmtId="2" fontId="14" fillId="0" borderId="0" xfId="0" applyNumberFormat="1" applyFont="1" applyAlignment="1">
      <alignment horizontal="right" vertical="top"/>
    </xf>
    <xf numFmtId="0" fontId="0" fillId="0" borderId="0" xfId="0" applyProtection="1">
      <alignment vertical="top"/>
      <protection locked="0"/>
    </xf>
    <xf numFmtId="2" fontId="0" fillId="0" borderId="0" xfId="0" applyNumberFormat="1" applyProtection="1">
      <alignment vertical="top"/>
      <protection locked="0"/>
    </xf>
    <xf numFmtId="0" fontId="26" fillId="0" borderId="0" xfId="0" applyFont="1" applyBorder="1" applyAlignment="1" applyProtection="1">
      <alignment vertical="top"/>
      <protection locked="0"/>
    </xf>
    <xf numFmtId="0" fontId="14" fillId="0" borderId="10" xfId="0" applyFont="1" applyFill="1" applyBorder="1" applyAlignment="1">
      <alignment vertical="top" wrapText="1"/>
    </xf>
    <xf numFmtId="1" fontId="14" fillId="0" borderId="0" xfId="0" applyNumberFormat="1" applyFont="1" applyAlignment="1">
      <alignment vertical="top" wrapText="1"/>
    </xf>
    <xf numFmtId="1" fontId="14" fillId="0" borderId="59" xfId="0" applyNumberFormat="1" applyFont="1" applyBorder="1" applyAlignment="1">
      <alignment vertical="top" wrapText="1"/>
    </xf>
    <xf numFmtId="1" fontId="14" fillId="0" borderId="10" xfId="0" applyNumberFormat="1" applyFont="1" applyBorder="1" applyAlignment="1">
      <alignment vertical="top" wrapText="1"/>
    </xf>
    <xf numFmtId="1" fontId="14" fillId="0" borderId="10" xfId="0" applyNumberFormat="1" applyFont="1" applyFill="1" applyBorder="1" applyAlignment="1">
      <alignment vertical="top"/>
    </xf>
    <xf numFmtId="1" fontId="14" fillId="0" borderId="59" xfId="0" applyNumberFormat="1" applyFont="1" applyBorder="1" applyAlignment="1">
      <alignment vertical="top"/>
    </xf>
    <xf numFmtId="1" fontId="14" fillId="0" borderId="10" xfId="0" applyNumberFormat="1" applyFont="1" applyBorder="1" applyAlignment="1">
      <alignment vertical="top"/>
    </xf>
    <xf numFmtId="0" fontId="14" fillId="0" borderId="59" xfId="0" applyFont="1" applyBorder="1" applyAlignment="1">
      <alignment vertical="top"/>
    </xf>
    <xf numFmtId="0" fontId="14" fillId="0" borderId="0" xfId="0" applyNumberFormat="1" applyFont="1" applyBorder="1" applyAlignment="1" applyProtection="1">
      <alignment vertical="center" wrapText="1"/>
      <protection hidden="1"/>
    </xf>
    <xf numFmtId="1" fontId="14" fillId="0" borderId="59" xfId="0" applyNumberFormat="1" applyFont="1" applyFill="1" applyBorder="1" applyAlignment="1">
      <alignment vertical="top"/>
    </xf>
    <xf numFmtId="2" fontId="14" fillId="0" borderId="59" xfId="0" applyNumberFormat="1" applyFont="1" applyFill="1" applyBorder="1" applyAlignment="1" applyProtection="1">
      <alignment vertical="top" wrapText="1"/>
    </xf>
    <xf numFmtId="2" fontId="14" fillId="0" borderId="10" xfId="0" applyNumberFormat="1" applyFont="1" applyFill="1" applyBorder="1" applyAlignment="1" applyProtection="1">
      <alignment vertical="top" wrapText="1"/>
    </xf>
    <xf numFmtId="49" fontId="11" fillId="6" borderId="108" xfId="1" applyNumberFormat="1" applyFont="1" applyFill="1" applyBorder="1" applyAlignment="1">
      <alignment vertical="center" wrapText="1"/>
    </xf>
    <xf numFmtId="49" fontId="11" fillId="0" borderId="97" xfId="1" applyNumberFormat="1" applyFont="1" applyBorder="1" applyAlignment="1">
      <alignment horizontal="center" vertical="center" wrapText="1"/>
    </xf>
    <xf numFmtId="49" fontId="11" fillId="0" borderId="103" xfId="1" applyNumberFormat="1" applyFont="1" applyBorder="1" applyAlignment="1">
      <alignment horizontal="center" vertical="center" wrapText="1"/>
    </xf>
    <xf numFmtId="49" fontId="11" fillId="0" borderId="33" xfId="1" applyNumberFormat="1" applyFont="1" applyBorder="1" applyAlignment="1">
      <alignment horizontal="center" vertical="center" wrapText="1"/>
    </xf>
    <xf numFmtId="0" fontId="15" fillId="22" borderId="4" xfId="0" applyFont="1" applyFill="1" applyBorder="1" applyAlignment="1">
      <alignment horizontal="center" vertical="center" wrapText="1"/>
    </xf>
    <xf numFmtId="0" fontId="51" fillId="22" borderId="4" xfId="0" applyFont="1" applyFill="1" applyBorder="1" applyAlignment="1">
      <alignment horizontal="center" vertical="center" wrapText="1"/>
    </xf>
    <xf numFmtId="0" fontId="15" fillId="22" borderId="47" xfId="0" applyFont="1" applyFill="1" applyBorder="1" applyAlignment="1">
      <alignment horizontal="center" vertical="center" wrapText="1"/>
    </xf>
    <xf numFmtId="1" fontId="15" fillId="22" borderId="47" xfId="0" applyNumberFormat="1" applyFont="1" applyFill="1" applyBorder="1" applyAlignment="1" applyProtection="1">
      <alignment horizontal="center" vertical="center" wrapText="1"/>
      <protection hidden="1"/>
    </xf>
    <xf numFmtId="0" fontId="15" fillId="22" borderId="4" xfId="0" applyFont="1" applyFill="1" applyBorder="1" applyAlignment="1" applyProtection="1">
      <alignment horizontal="center" vertical="center" wrapText="1"/>
      <protection hidden="1"/>
    </xf>
    <xf numFmtId="2" fontId="15" fillId="22" borderId="47" xfId="0" applyNumberFormat="1" applyFont="1" applyFill="1" applyBorder="1" applyAlignment="1" applyProtection="1">
      <alignment horizontal="center" vertical="center" wrapText="1"/>
    </xf>
    <xf numFmtId="0" fontId="15" fillId="9" borderId="4" xfId="0" applyFont="1" applyFill="1" applyBorder="1" applyAlignment="1">
      <alignment horizontal="center" vertical="center" wrapText="1"/>
    </xf>
    <xf numFmtId="0" fontId="14" fillId="0" borderId="0" xfId="0" applyFont="1" applyBorder="1" applyAlignment="1">
      <alignment vertical="top" wrapText="1"/>
    </xf>
    <xf numFmtId="0" fontId="15" fillId="9" borderId="30" xfId="0" applyFont="1" applyFill="1" applyBorder="1" applyAlignment="1">
      <alignment horizontal="center" vertical="center" wrapText="1"/>
    </xf>
    <xf numFmtId="49" fontId="15" fillId="9" borderId="41" xfId="0" applyNumberFormat="1" applyFont="1" applyFill="1" applyBorder="1" applyAlignment="1">
      <alignment horizontal="center" vertical="center" wrapText="1"/>
    </xf>
    <xf numFmtId="0" fontId="15" fillId="9" borderId="47" xfId="0" applyFont="1" applyFill="1" applyBorder="1" applyAlignment="1">
      <alignment horizontal="center" vertical="center" wrapText="1"/>
    </xf>
    <xf numFmtId="1" fontId="15" fillId="9" borderId="4" xfId="0" applyNumberFormat="1" applyFont="1" applyFill="1" applyBorder="1" applyAlignment="1" applyProtection="1">
      <alignment horizontal="center" vertical="center" wrapText="1"/>
      <protection hidden="1"/>
    </xf>
    <xf numFmtId="0" fontId="15" fillId="9" borderId="47" xfId="0" applyFont="1" applyFill="1" applyBorder="1" applyAlignment="1" applyProtection="1">
      <alignment horizontal="center" vertical="center" wrapText="1"/>
      <protection hidden="1"/>
    </xf>
    <xf numFmtId="2" fontId="15" fillId="9" borderId="30" xfId="0" applyNumberFormat="1" applyFont="1" applyFill="1" applyBorder="1" applyAlignment="1" applyProtection="1">
      <alignment horizontal="center" vertical="center" wrapText="1"/>
    </xf>
    <xf numFmtId="0" fontId="51" fillId="9" borderId="4" xfId="0" applyFont="1" applyFill="1" applyBorder="1" applyAlignment="1">
      <alignment horizontal="center" vertical="center" wrapText="1"/>
    </xf>
    <xf numFmtId="0" fontId="51" fillId="9" borderId="41" xfId="0" applyFont="1" applyFill="1" applyBorder="1" applyAlignment="1">
      <alignment horizontal="center" vertical="center" wrapText="1"/>
    </xf>
    <xf numFmtId="0" fontId="17" fillId="9" borderId="4" xfId="0" applyFont="1" applyFill="1" applyBorder="1" applyAlignment="1">
      <alignment horizontal="left" vertical="top" wrapText="1"/>
    </xf>
    <xf numFmtId="0" fontId="17" fillId="9" borderId="89" xfId="0" applyFont="1" applyFill="1" applyBorder="1" applyAlignment="1">
      <alignment horizontal="left" vertical="top" wrapText="1"/>
    </xf>
    <xf numFmtId="1" fontId="41" fillId="0" borderId="89" xfId="0" applyNumberFormat="1" applyFont="1" applyBorder="1" applyAlignment="1">
      <alignment horizontal="center" vertical="top" wrapText="1"/>
    </xf>
    <xf numFmtId="0" fontId="17" fillId="9" borderId="4" xfId="0" applyFont="1" applyFill="1" applyBorder="1" applyAlignment="1">
      <alignment horizontal="center" vertical="center" wrapText="1"/>
    </xf>
    <xf numFmtId="1" fontId="14" fillId="0" borderId="26" xfId="0" applyNumberFormat="1" applyFont="1" applyFill="1" applyBorder="1" applyAlignment="1" applyProtection="1">
      <alignment vertical="top" wrapText="1"/>
      <protection hidden="1"/>
    </xf>
    <xf numFmtId="2" fontId="14" fillId="9" borderId="57" xfId="0" applyNumberFormat="1" applyFont="1" applyFill="1" applyBorder="1" applyAlignment="1">
      <alignment horizontal="center" vertical="top" wrapText="1"/>
    </xf>
    <xf numFmtId="2" fontId="47" fillId="18" borderId="37" xfId="0" applyNumberFormat="1" applyFont="1" applyFill="1" applyBorder="1" applyAlignment="1">
      <alignment horizontal="right" vertical="top"/>
    </xf>
    <xf numFmtId="2" fontId="47" fillId="18" borderId="63" xfId="0" applyNumberFormat="1" applyFont="1" applyFill="1" applyBorder="1" applyAlignment="1">
      <alignment horizontal="right" vertical="top"/>
    </xf>
    <xf numFmtId="0" fontId="17" fillId="9" borderId="20" xfId="0" applyFont="1" applyFill="1" applyBorder="1" applyAlignment="1" applyProtection="1">
      <alignment horizontal="center" vertical="center" wrapText="1"/>
    </xf>
    <xf numFmtId="0" fontId="17" fillId="9" borderId="0" xfId="0" applyFont="1" applyFill="1" applyBorder="1" applyAlignment="1" applyProtection="1">
      <alignment horizontal="center" vertical="center" wrapText="1"/>
    </xf>
    <xf numFmtId="0" fontId="14" fillId="0" borderId="0" xfId="0" applyFont="1" applyBorder="1" applyAlignment="1" applyProtection="1">
      <alignment vertical="top" wrapText="1"/>
    </xf>
    <xf numFmtId="0" fontId="14" fillId="0" borderId="10" xfId="0" applyFont="1" applyBorder="1" applyAlignment="1" applyProtection="1">
      <alignment vertical="top" wrapText="1"/>
    </xf>
    <xf numFmtId="0" fontId="14" fillId="0" borderId="30" xfId="0" applyFont="1" applyFill="1" applyBorder="1" applyAlignment="1" applyProtection="1">
      <alignment horizontal="left" vertical="top" wrapText="1"/>
    </xf>
    <xf numFmtId="0" fontId="14" fillId="0" borderId="102" xfId="0" applyFont="1" applyFill="1" applyBorder="1" applyAlignment="1" applyProtection="1">
      <alignment horizontal="left" vertical="top" wrapText="1"/>
    </xf>
    <xf numFmtId="0" fontId="14" fillId="0" borderId="106" xfId="0" applyFont="1" applyFill="1" applyBorder="1" applyAlignment="1" applyProtection="1">
      <alignment horizontal="left" vertical="top" wrapText="1"/>
    </xf>
    <xf numFmtId="0" fontId="14" fillId="0" borderId="35" xfId="0" applyFont="1" applyFill="1" applyBorder="1" applyAlignment="1" applyProtection="1">
      <alignment horizontal="left" vertical="top" wrapText="1"/>
    </xf>
    <xf numFmtId="49" fontId="14" fillId="0" borderId="102" xfId="0" applyNumberFormat="1" applyFont="1" applyFill="1" applyBorder="1" applyAlignment="1" applyProtection="1">
      <alignment horizontal="left" vertical="top" wrapText="1"/>
    </xf>
    <xf numFmtId="49" fontId="14" fillId="0" borderId="106" xfId="0" applyNumberFormat="1" applyFont="1" applyFill="1" applyBorder="1" applyAlignment="1" applyProtection="1">
      <alignment horizontal="left" vertical="top" wrapText="1"/>
    </xf>
    <xf numFmtId="0" fontId="14" fillId="0" borderId="35" xfId="0" applyFont="1" applyBorder="1" applyAlignment="1" applyProtection="1">
      <alignment vertical="top" wrapText="1"/>
    </xf>
    <xf numFmtId="0" fontId="14" fillId="0" borderId="0" xfId="0" applyFont="1" applyFill="1" applyBorder="1" applyAlignment="1" applyProtection="1">
      <alignment horizontal="left" vertical="top" wrapText="1"/>
    </xf>
    <xf numFmtId="0" fontId="14" fillId="0" borderId="10" xfId="0" applyFont="1" applyFill="1" applyBorder="1" applyAlignment="1" applyProtection="1">
      <alignment horizontal="left" vertical="top" wrapText="1"/>
    </xf>
    <xf numFmtId="0" fontId="14" fillId="0" borderId="96" xfId="0" applyFont="1" applyFill="1" applyBorder="1" applyAlignment="1" applyProtection="1">
      <alignment horizontal="left" vertical="top" wrapText="1"/>
    </xf>
    <xf numFmtId="0" fontId="14" fillId="0" borderId="59" xfId="0" applyFont="1" applyFill="1" applyBorder="1" applyAlignment="1" applyProtection="1">
      <alignment horizontal="left" vertical="top" wrapText="1"/>
    </xf>
    <xf numFmtId="0" fontId="14" fillId="0" borderId="102" xfId="0" applyFont="1" applyBorder="1" applyAlignment="1" applyProtection="1">
      <alignment vertical="top" wrapText="1"/>
    </xf>
    <xf numFmtId="0" fontId="14" fillId="0" borderId="106" xfId="0" applyFont="1" applyBorder="1" applyAlignment="1" applyProtection="1">
      <alignment vertical="top" wrapText="1"/>
    </xf>
    <xf numFmtId="16" fontId="14" fillId="0" borderId="96" xfId="0" applyNumberFormat="1" applyFont="1" applyFill="1" applyBorder="1" applyAlignment="1" applyProtection="1">
      <alignment horizontal="left" vertical="top" wrapText="1"/>
    </xf>
    <xf numFmtId="16" fontId="14" fillId="0" borderId="106" xfId="0" applyNumberFormat="1" applyFont="1" applyFill="1" applyBorder="1" applyAlignment="1" applyProtection="1">
      <alignment horizontal="left" vertical="top" wrapText="1"/>
    </xf>
    <xf numFmtId="17" fontId="14" fillId="0" borderId="96" xfId="0" applyNumberFormat="1" applyFont="1" applyFill="1" applyBorder="1" applyAlignment="1" applyProtection="1">
      <alignment horizontal="left" vertical="top" wrapText="1"/>
    </xf>
    <xf numFmtId="17" fontId="14" fillId="0" borderId="106" xfId="0" applyNumberFormat="1" applyFont="1" applyFill="1" applyBorder="1" applyAlignment="1" applyProtection="1">
      <alignment horizontal="left" vertical="top" wrapText="1"/>
    </xf>
    <xf numFmtId="0" fontId="14" fillId="0" borderId="30" xfId="0" applyFont="1" applyFill="1" applyBorder="1" applyAlignment="1" applyProtection="1">
      <alignment horizontal="left" vertical="top"/>
    </xf>
    <xf numFmtId="0" fontId="14" fillId="0" borderId="59" xfId="0" applyFont="1" applyBorder="1" applyAlignment="1" applyProtection="1">
      <alignment vertical="top" wrapText="1"/>
    </xf>
    <xf numFmtId="0" fontId="14" fillId="0" borderId="0" xfId="0" applyFont="1" applyAlignment="1" applyProtection="1">
      <alignment horizontal="center" vertical="top" wrapText="1"/>
      <protection locked="0"/>
    </xf>
    <xf numFmtId="0" fontId="56" fillId="0" borderId="0" xfId="0" applyFont="1" applyFill="1" applyBorder="1" applyAlignment="1">
      <alignment horizontal="right" vertical="center"/>
    </xf>
    <xf numFmtId="2" fontId="13" fillId="0" borderId="0" xfId="0" applyNumberFormat="1" applyFont="1" applyFill="1" applyBorder="1" applyAlignment="1">
      <alignment horizontal="center"/>
    </xf>
    <xf numFmtId="2" fontId="62" fillId="0" borderId="0" xfId="0" applyNumberFormat="1" applyFont="1" applyFill="1" applyBorder="1" applyAlignment="1" applyProtection="1">
      <alignment horizontal="center" wrapText="1"/>
      <protection hidden="1"/>
    </xf>
    <xf numFmtId="2" fontId="62" fillId="0" borderId="0" xfId="0" applyNumberFormat="1" applyFont="1" applyFill="1" applyBorder="1" applyAlignment="1" applyProtection="1">
      <alignment horizontal="center" vertical="top"/>
      <protection hidden="1"/>
    </xf>
    <xf numFmtId="0" fontId="65" fillId="0" borderId="0" xfId="0" applyFont="1" applyFill="1" applyBorder="1" applyProtection="1">
      <alignment vertical="top"/>
      <protection hidden="1"/>
    </xf>
    <xf numFmtId="2" fontId="67" fillId="0" borderId="0" xfId="0" applyNumberFormat="1" applyFont="1" applyFill="1" applyBorder="1" applyAlignment="1" applyProtection="1">
      <alignment horizontal="center" wrapText="1"/>
      <protection hidden="1"/>
    </xf>
    <xf numFmtId="0" fontId="59" fillId="0" borderId="0" xfId="3" applyFont="1" applyFill="1" applyBorder="1" applyProtection="1">
      <protection hidden="1"/>
    </xf>
    <xf numFmtId="1" fontId="61" fillId="0" borderId="0" xfId="3" applyNumberFormat="1" applyFont="1" applyFill="1" applyBorder="1" applyProtection="1">
      <protection hidden="1"/>
    </xf>
    <xf numFmtId="0" fontId="68" fillId="0" borderId="0" xfId="3" applyFont="1" applyFill="1" applyBorder="1" applyProtection="1">
      <protection hidden="1"/>
    </xf>
    <xf numFmtId="2" fontId="59" fillId="0" borderId="0" xfId="3" applyNumberFormat="1" applyFont="1" applyFill="1" applyBorder="1" applyProtection="1">
      <protection hidden="1"/>
    </xf>
    <xf numFmtId="0" fontId="62" fillId="0" borderId="0" xfId="0" applyFont="1" applyFill="1" applyBorder="1" applyProtection="1">
      <alignment vertical="top"/>
      <protection hidden="1"/>
    </xf>
    <xf numFmtId="0" fontId="61" fillId="0" borderId="0" xfId="0" applyFont="1" applyFill="1" applyBorder="1" applyAlignment="1" applyProtection="1">
      <alignment wrapText="1"/>
      <protection hidden="1"/>
    </xf>
    <xf numFmtId="0" fontId="61" fillId="0" borderId="0" xfId="0" applyFont="1" applyFill="1" applyBorder="1" applyAlignment="1" applyProtection="1">
      <alignment horizontal="center"/>
      <protection hidden="1"/>
    </xf>
    <xf numFmtId="0" fontId="60" fillId="0" borderId="0" xfId="0" applyFont="1" applyFill="1" applyBorder="1" applyAlignment="1" applyProtection="1">
      <protection hidden="1"/>
    </xf>
    <xf numFmtId="0" fontId="69" fillId="0" borderId="0" xfId="0" applyFont="1" applyFill="1" applyBorder="1" applyAlignment="1" applyProtection="1">
      <protection hidden="1"/>
    </xf>
    <xf numFmtId="2" fontId="62" fillId="0" borderId="0" xfId="0" applyNumberFormat="1" applyFont="1" applyFill="1" applyBorder="1" applyAlignment="1" applyProtection="1">
      <alignment horizontal="center"/>
      <protection hidden="1"/>
    </xf>
    <xf numFmtId="2" fontId="65" fillId="0" borderId="0" xfId="0" applyNumberFormat="1" applyFont="1" applyFill="1" applyBorder="1" applyProtection="1">
      <alignment vertical="top"/>
      <protection hidden="1"/>
    </xf>
    <xf numFmtId="0" fontId="70" fillId="0" borderId="0" xfId="0" applyFont="1" applyFill="1" applyBorder="1" applyAlignment="1" applyProtection="1">
      <alignment vertical="center" wrapText="1"/>
      <protection hidden="1"/>
    </xf>
    <xf numFmtId="0" fontId="69" fillId="0" borderId="0" xfId="0" applyFont="1" applyFill="1" applyBorder="1" applyProtection="1">
      <alignment vertical="top"/>
      <protection hidden="1"/>
    </xf>
    <xf numFmtId="2" fontId="69" fillId="0" borderId="0" xfId="0" applyNumberFormat="1" applyFont="1" applyFill="1" applyBorder="1" applyProtection="1">
      <alignment vertical="top"/>
      <protection hidden="1"/>
    </xf>
    <xf numFmtId="165" fontId="69" fillId="0" borderId="0" xfId="0" applyNumberFormat="1" applyFont="1" applyFill="1" applyBorder="1" applyProtection="1">
      <alignment vertical="top"/>
      <protection hidden="1"/>
    </xf>
    <xf numFmtId="0" fontId="26" fillId="0" borderId="0" xfId="0" applyFont="1" applyBorder="1" applyAlignment="1">
      <alignment vertical="top" wrapText="1"/>
    </xf>
    <xf numFmtId="0" fontId="13" fillId="0" borderId="31" xfId="0" applyFont="1" applyFill="1" applyBorder="1">
      <alignment vertical="top"/>
    </xf>
    <xf numFmtId="0" fontId="13" fillId="0" borderId="24" xfId="0" applyFont="1" applyFill="1" applyBorder="1">
      <alignment vertical="top"/>
    </xf>
    <xf numFmtId="0" fontId="13" fillId="0" borderId="95" xfId="0" applyFont="1" applyFill="1" applyBorder="1">
      <alignment vertical="top"/>
    </xf>
    <xf numFmtId="0" fontId="13" fillId="0" borderId="90" xfId="0" applyFont="1" applyFill="1" applyBorder="1">
      <alignment vertical="top"/>
    </xf>
    <xf numFmtId="2" fontId="0" fillId="0" borderId="0" xfId="0" applyNumberFormat="1" applyAlignment="1">
      <alignment horizontal="center" vertical="top"/>
    </xf>
    <xf numFmtId="49" fontId="54" fillId="15" borderId="113" xfId="2" applyNumberFormat="1" applyFont="1" applyFill="1" applyBorder="1" applyAlignment="1">
      <alignment horizontal="center" vertical="center" wrapText="1"/>
    </xf>
    <xf numFmtId="2" fontId="60" fillId="0" borderId="0" xfId="0" applyNumberFormat="1" applyFont="1">
      <alignment vertical="top"/>
    </xf>
    <xf numFmtId="1" fontId="18" fillId="7" borderId="26" xfId="1" applyNumberFormat="1" applyFont="1" applyFill="1" applyBorder="1" applyAlignment="1" applyProtection="1">
      <alignment vertical="center"/>
      <protection locked="0"/>
    </xf>
    <xf numFmtId="2" fontId="18" fillId="7" borderId="40" xfId="1" applyNumberFormat="1" applyFont="1" applyFill="1" applyBorder="1" applyAlignment="1" applyProtection="1">
      <alignment vertical="center"/>
      <protection locked="0"/>
    </xf>
    <xf numFmtId="2" fontId="18" fillId="7" borderId="26" xfId="1" applyNumberFormat="1" applyFont="1" applyFill="1" applyBorder="1" applyAlignment="1" applyProtection="1">
      <alignment vertical="center"/>
      <protection locked="0"/>
    </xf>
    <xf numFmtId="49" fontId="54" fillId="0" borderId="105" xfId="2" applyNumberFormat="1" applyFont="1" applyBorder="1" applyAlignment="1" applyProtection="1">
      <alignment horizontal="center" vertical="center" wrapText="1"/>
      <protection locked="0"/>
    </xf>
    <xf numFmtId="1" fontId="55" fillId="0" borderId="105" xfId="2" applyNumberFormat="1" applyFont="1" applyBorder="1" applyAlignment="1" applyProtection="1">
      <alignment horizontal="center" vertical="center"/>
      <protection locked="0"/>
    </xf>
    <xf numFmtId="1" fontId="18" fillId="7" borderId="41" xfId="1" applyNumberFormat="1" applyFont="1" applyFill="1" applyBorder="1" applyAlignment="1">
      <alignment horizontal="center" vertical="center"/>
    </xf>
    <xf numFmtId="49" fontId="54" fillId="15" borderId="105" xfId="2" applyNumberFormat="1" applyFont="1" applyFill="1" applyBorder="1" applyAlignment="1">
      <alignment horizontal="center" vertical="center" wrapText="1"/>
    </xf>
    <xf numFmtId="0" fontId="54" fillId="15" borderId="105" xfId="2" applyFont="1" applyFill="1" applyBorder="1" applyAlignment="1" applyProtection="1">
      <alignment horizontal="center" vertical="center" wrapText="1"/>
      <protection locked="0"/>
    </xf>
    <xf numFmtId="1" fontId="14" fillId="7" borderId="41" xfId="1" applyNumberFormat="1" applyFont="1" applyFill="1" applyBorder="1" applyAlignment="1">
      <alignment horizontal="center" vertical="center"/>
    </xf>
    <xf numFmtId="2" fontId="13" fillId="11" borderId="21" xfId="0" applyNumberFormat="1" applyFont="1" applyFill="1" applyBorder="1" applyAlignment="1" applyProtection="1">
      <alignment horizontal="center" vertical="top"/>
      <protection hidden="1"/>
    </xf>
    <xf numFmtId="2" fontId="13" fillId="0" borderId="0" xfId="0" applyNumberFormat="1" applyFont="1" applyFill="1" applyBorder="1" applyProtection="1">
      <alignment vertical="top"/>
      <protection hidden="1"/>
    </xf>
    <xf numFmtId="2" fontId="19" fillId="0" borderId="0" xfId="0" applyNumberFormat="1" applyFont="1" applyFill="1" applyBorder="1" applyProtection="1">
      <alignment vertical="top"/>
      <protection hidden="1"/>
    </xf>
    <xf numFmtId="0" fontId="53" fillId="0" borderId="0" xfId="3" applyFont="1" applyFill="1" applyBorder="1" applyProtection="1">
      <protection hidden="1"/>
    </xf>
    <xf numFmtId="0" fontId="18" fillId="0" borderId="0" xfId="0" applyFont="1" applyFill="1" applyBorder="1" applyAlignment="1" applyProtection="1">
      <protection hidden="1"/>
    </xf>
    <xf numFmtId="0" fontId="13" fillId="0" borderId="0" xfId="0" applyFont="1" applyFill="1" applyBorder="1" applyProtection="1">
      <alignment vertical="top"/>
      <protection hidden="1"/>
    </xf>
    <xf numFmtId="1" fontId="14" fillId="0" borderId="116" xfId="0" applyNumberFormat="1" applyFont="1" applyFill="1" applyBorder="1" applyAlignment="1" applyProtection="1">
      <alignment horizontal="left" vertical="top" wrapText="1"/>
    </xf>
    <xf numFmtId="0" fontId="14" fillId="0" borderId="116" xfId="0" applyFont="1" applyBorder="1" applyAlignment="1" applyProtection="1">
      <alignment vertical="top" wrapText="1"/>
    </xf>
    <xf numFmtId="0" fontId="46" fillId="0" borderId="0" xfId="0" applyFont="1" applyFill="1" applyBorder="1" applyAlignment="1">
      <alignment vertical="top"/>
    </xf>
    <xf numFmtId="0" fontId="14" fillId="0" borderId="116" xfId="0" applyFont="1" applyFill="1" applyBorder="1" applyAlignment="1" applyProtection="1">
      <alignment horizontal="left" vertical="top" wrapText="1"/>
    </xf>
    <xf numFmtId="49" fontId="14" fillId="0" borderId="111" xfId="0" applyNumberFormat="1" applyFont="1" applyBorder="1" applyAlignment="1">
      <alignment horizontal="left" vertical="top" wrapText="1"/>
    </xf>
    <xf numFmtId="1" fontId="14" fillId="2" borderId="109" xfId="0" applyNumberFormat="1" applyFont="1" applyFill="1" applyBorder="1" applyAlignment="1">
      <alignment horizontal="center" vertical="top" wrapText="1"/>
    </xf>
    <xf numFmtId="2" fontId="14" fillId="2" borderId="109" xfId="0" applyNumberFormat="1" applyFont="1" applyFill="1" applyBorder="1" applyAlignment="1">
      <alignment horizontal="center" vertical="top" wrapText="1"/>
    </xf>
    <xf numFmtId="1" fontId="14" fillId="2" borderId="100" xfId="0" applyNumberFormat="1" applyFont="1" applyFill="1" applyBorder="1" applyAlignment="1">
      <alignment horizontal="center" vertical="top" wrapText="1"/>
    </xf>
    <xf numFmtId="2" fontId="14" fillId="2" borderId="100" xfId="0" applyNumberFormat="1" applyFont="1" applyFill="1" applyBorder="1" applyAlignment="1">
      <alignment horizontal="center" vertical="top" wrapText="1"/>
    </xf>
    <xf numFmtId="49" fontId="14" fillId="0" borderId="105" xfId="0" applyNumberFormat="1" applyFont="1" applyFill="1" applyBorder="1" applyAlignment="1">
      <alignment horizontal="left" vertical="top" wrapText="1"/>
    </xf>
    <xf numFmtId="49" fontId="14" fillId="0" borderId="101" xfId="0" applyNumberFormat="1" applyFont="1" applyFill="1" applyBorder="1" applyAlignment="1">
      <alignment horizontal="left" vertical="top" wrapText="1"/>
    </xf>
    <xf numFmtId="49" fontId="14" fillId="0" borderId="116" xfId="0" applyNumberFormat="1" applyFont="1" applyFill="1" applyBorder="1" applyAlignment="1">
      <alignment horizontal="left" vertical="top" wrapText="1"/>
    </xf>
    <xf numFmtId="49" fontId="14" fillId="0" borderId="44" xfId="0" applyNumberFormat="1" applyFont="1" applyFill="1" applyBorder="1" applyAlignment="1">
      <alignment horizontal="left" vertical="top" wrapText="1"/>
    </xf>
    <xf numFmtId="2" fontId="14" fillId="2" borderId="43" xfId="0" applyNumberFormat="1" applyFont="1" applyFill="1" applyBorder="1" applyAlignment="1">
      <alignment horizontal="center" vertical="top" wrapText="1"/>
    </xf>
    <xf numFmtId="2" fontId="14" fillId="8" borderId="109" xfId="0" applyNumberFormat="1" applyFont="1" applyFill="1" applyBorder="1" applyAlignment="1">
      <alignment horizontal="center" vertical="top" wrapText="1"/>
    </xf>
    <xf numFmtId="1" fontId="14" fillId="8" borderId="101" xfId="0" applyNumberFormat="1" applyFont="1" applyFill="1" applyBorder="1" applyAlignment="1">
      <alignment horizontal="center" vertical="top" wrapText="1"/>
    </xf>
    <xf numFmtId="49" fontId="15" fillId="9" borderId="27" xfId="0" applyNumberFormat="1" applyFont="1" applyFill="1" applyBorder="1" applyAlignment="1">
      <alignment horizontal="center" vertical="center" wrapText="1"/>
    </xf>
    <xf numFmtId="0" fontId="14" fillId="0" borderId="100" xfId="0" applyFont="1" applyFill="1" applyBorder="1" applyAlignment="1">
      <alignment vertical="top" wrapText="1"/>
    </xf>
    <xf numFmtId="0" fontId="14" fillId="0" borderId="100" xfId="0" applyFont="1" applyFill="1" applyBorder="1" applyAlignment="1">
      <alignment horizontal="center" vertical="top" wrapText="1"/>
    </xf>
    <xf numFmtId="1" fontId="14" fillId="2" borderId="105" xfId="0" applyNumberFormat="1" applyFont="1" applyFill="1" applyBorder="1" applyAlignment="1">
      <alignment horizontal="center" vertical="top" wrapText="1"/>
    </xf>
    <xf numFmtId="1" fontId="14" fillId="2" borderId="102" xfId="0" applyNumberFormat="1" applyFont="1" applyFill="1" applyBorder="1" applyAlignment="1">
      <alignment horizontal="center" vertical="top" wrapText="1"/>
    </xf>
    <xf numFmtId="1" fontId="14" fillId="2" borderId="101" xfId="0" applyNumberFormat="1" applyFont="1" applyFill="1" applyBorder="1" applyAlignment="1">
      <alignment horizontal="center" vertical="top" wrapText="1"/>
    </xf>
    <xf numFmtId="0" fontId="14" fillId="0" borderId="100" xfId="0" applyFont="1" applyBorder="1" applyAlignment="1">
      <alignment horizontal="center" vertical="top" wrapText="1"/>
    </xf>
    <xf numFmtId="0" fontId="14" fillId="0" borderId="100" xfId="0" applyFont="1" applyBorder="1" applyAlignment="1">
      <alignment horizontal="left" vertical="top" wrapText="1"/>
    </xf>
    <xf numFmtId="0" fontId="15" fillId="9" borderId="20" xfId="0" applyFont="1" applyFill="1" applyBorder="1" applyAlignment="1">
      <alignment horizontal="center" vertical="center" wrapText="1"/>
    </xf>
    <xf numFmtId="0" fontId="15" fillId="9" borderId="59" xfId="0" applyFont="1" applyFill="1" applyBorder="1" applyAlignment="1">
      <alignment horizontal="center" vertical="center" wrapText="1"/>
    </xf>
    <xf numFmtId="1" fontId="15" fillId="9" borderId="20" xfId="0" applyNumberFormat="1" applyFont="1" applyFill="1" applyBorder="1" applyAlignment="1" applyProtection="1">
      <alignment horizontal="center" vertical="center" wrapText="1"/>
      <protection hidden="1"/>
    </xf>
    <xf numFmtId="0" fontId="15" fillId="9" borderId="59" xfId="0" applyFont="1" applyFill="1" applyBorder="1" applyAlignment="1" applyProtection="1">
      <alignment horizontal="center" vertical="center" wrapText="1"/>
      <protection hidden="1"/>
    </xf>
    <xf numFmtId="2" fontId="15" fillId="9" borderId="31" xfId="0" applyNumberFormat="1" applyFont="1" applyFill="1" applyBorder="1" applyAlignment="1" applyProtection="1">
      <alignment horizontal="center" vertical="center" wrapText="1"/>
    </xf>
    <xf numFmtId="2" fontId="14" fillId="2" borderId="109" xfId="0" applyNumberFormat="1" applyFont="1" applyFill="1" applyBorder="1" applyAlignment="1">
      <alignment horizontal="center" vertical="top"/>
    </xf>
    <xf numFmtId="2" fontId="14" fillId="2" borderId="100" xfId="0" applyNumberFormat="1" applyFont="1" applyFill="1" applyBorder="1" applyAlignment="1">
      <alignment horizontal="center" vertical="top"/>
    </xf>
    <xf numFmtId="49" fontId="47" fillId="0" borderId="100" xfId="0" applyNumberFormat="1" applyFont="1" applyFill="1" applyBorder="1" applyAlignment="1">
      <alignment horizontal="center" vertical="top" wrapText="1"/>
    </xf>
    <xf numFmtId="0" fontId="14" fillId="0" borderId="111" xfId="0" applyFont="1" applyFill="1" applyBorder="1" applyAlignment="1">
      <alignment vertical="top" wrapText="1"/>
    </xf>
    <xf numFmtId="1" fontId="14" fillId="2" borderId="100" xfId="0" applyNumberFormat="1" applyFont="1" applyFill="1" applyBorder="1" applyAlignment="1">
      <alignment horizontal="center" vertical="top"/>
    </xf>
    <xf numFmtId="1" fontId="14" fillId="2" borderId="102" xfId="0" applyNumberFormat="1" applyFont="1" applyFill="1" applyBorder="1" applyAlignment="1">
      <alignment horizontal="center" vertical="top"/>
    </xf>
    <xf numFmtId="0" fontId="51" fillId="9" borderId="20" xfId="0" applyFont="1" applyFill="1" applyBorder="1" applyAlignment="1">
      <alignment horizontal="center" vertical="center" wrapText="1"/>
    </xf>
    <xf numFmtId="1" fontId="47" fillId="0" borderId="100" xfId="0" applyNumberFormat="1" applyFont="1" applyFill="1" applyBorder="1" applyAlignment="1">
      <alignment horizontal="center" vertical="top" wrapText="1"/>
    </xf>
    <xf numFmtId="49" fontId="14" fillId="0" borderId="100" xfId="0" applyNumberFormat="1" applyFont="1" applyFill="1" applyBorder="1" applyAlignment="1">
      <alignment horizontal="center" vertical="top" wrapText="1"/>
    </xf>
    <xf numFmtId="0" fontId="18" fillId="4" borderId="0" xfId="0" applyFont="1" applyFill="1" applyAlignment="1"/>
    <xf numFmtId="0" fontId="14" fillId="8" borderId="105" xfId="0" applyFont="1" applyFill="1" applyBorder="1" applyAlignment="1">
      <alignment horizontal="center" vertical="top" wrapText="1"/>
    </xf>
    <xf numFmtId="0" fontId="14" fillId="8" borderId="100" xfId="0" applyFont="1" applyFill="1" applyBorder="1" applyAlignment="1">
      <alignment horizontal="center" vertical="top" wrapText="1"/>
    </xf>
    <xf numFmtId="0" fontId="14" fillId="8" borderId="113" xfId="0" applyFont="1" applyFill="1" applyBorder="1" applyAlignment="1">
      <alignment horizontal="center" vertical="top" wrapText="1"/>
    </xf>
    <xf numFmtId="0" fontId="15" fillId="9" borderId="31" xfId="0" applyFont="1" applyFill="1" applyBorder="1" applyAlignment="1">
      <alignment horizontal="center" vertical="center" wrapText="1"/>
    </xf>
    <xf numFmtId="0" fontId="14" fillId="8" borderId="101" xfId="0" applyFont="1" applyFill="1" applyBorder="1" applyAlignment="1">
      <alignment horizontal="center" vertical="top" wrapText="1"/>
    </xf>
    <xf numFmtId="2" fontId="14" fillId="8" borderId="104" xfId="0" applyNumberFormat="1" applyFont="1" applyFill="1" applyBorder="1" applyAlignment="1">
      <alignment horizontal="center" vertical="top" wrapText="1"/>
    </xf>
    <xf numFmtId="2" fontId="14" fillId="2" borderId="104" xfId="0" applyNumberFormat="1" applyFont="1" applyFill="1" applyBorder="1" applyAlignment="1">
      <alignment horizontal="center" vertical="top"/>
    </xf>
    <xf numFmtId="2" fontId="14" fillId="3" borderId="40" xfId="0" applyNumberFormat="1" applyFont="1" applyFill="1" applyBorder="1" applyAlignment="1">
      <alignment horizontal="center" vertical="top" wrapText="1"/>
    </xf>
    <xf numFmtId="0" fontId="14" fillId="0" borderId="111" xfId="0" applyFont="1" applyFill="1" applyBorder="1" applyAlignment="1">
      <alignment horizontal="left" vertical="top" wrapText="1"/>
    </xf>
    <xf numFmtId="1" fontId="14" fillId="0" borderId="100" xfId="0" applyNumberFormat="1" applyFont="1" applyFill="1" applyBorder="1" applyAlignment="1">
      <alignment horizontal="center" vertical="top" wrapText="1"/>
    </xf>
    <xf numFmtId="1" fontId="14" fillId="2" borderId="114" xfId="0" applyNumberFormat="1" applyFont="1" applyFill="1" applyBorder="1" applyAlignment="1" applyProtection="1">
      <alignment horizontal="center" vertical="top" wrapText="1"/>
      <protection hidden="1"/>
    </xf>
    <xf numFmtId="0" fontId="14" fillId="2" borderId="114" xfId="0" applyFont="1" applyFill="1" applyBorder="1" applyAlignment="1" applyProtection="1">
      <alignment horizontal="center" vertical="top" wrapText="1"/>
      <protection hidden="1"/>
    </xf>
    <xf numFmtId="2" fontId="14" fillId="12" borderId="99" xfId="0" applyNumberFormat="1" applyFont="1" applyFill="1" applyBorder="1" applyAlignment="1">
      <alignment horizontal="center" vertical="top" wrapText="1"/>
    </xf>
    <xf numFmtId="0" fontId="52" fillId="0" borderId="116" xfId="0" applyNumberFormat="1" applyFont="1" applyFill="1" applyBorder="1" applyAlignment="1">
      <alignment horizontal="left" vertical="top" wrapText="1"/>
    </xf>
    <xf numFmtId="0" fontId="14" fillId="0" borderId="101" xfId="0" applyFont="1" applyBorder="1" applyAlignment="1">
      <alignment horizontal="left" vertical="top" wrapText="1"/>
    </xf>
    <xf numFmtId="0" fontId="14" fillId="0" borderId="116" xfId="0" applyFont="1" applyBorder="1" applyAlignment="1">
      <alignment horizontal="left" vertical="top" wrapText="1"/>
    </xf>
    <xf numFmtId="2" fontId="14" fillId="8" borderId="113" xfId="0" applyNumberFormat="1" applyFont="1" applyFill="1" applyBorder="1" applyAlignment="1">
      <alignment horizontal="center" vertical="top" wrapText="1"/>
    </xf>
    <xf numFmtId="1" fontId="14" fillId="8" borderId="100" xfId="0" applyNumberFormat="1" applyFont="1" applyFill="1" applyBorder="1" applyAlignment="1">
      <alignment horizontal="center" vertical="top"/>
    </xf>
    <xf numFmtId="0" fontId="14" fillId="0" borderId="101" xfId="0" applyFont="1" applyFill="1" applyBorder="1" applyAlignment="1">
      <alignment horizontal="center" vertical="top" wrapText="1"/>
    </xf>
    <xf numFmtId="1" fontId="14" fillId="0" borderId="105" xfId="0" applyNumberFormat="1" applyFont="1" applyBorder="1" applyAlignment="1">
      <alignment horizontal="center" vertical="top" wrapText="1"/>
    </xf>
    <xf numFmtId="1" fontId="14" fillId="2" borderId="113" xfId="0" applyNumberFormat="1" applyFont="1" applyFill="1" applyBorder="1" applyAlignment="1">
      <alignment horizontal="center" vertical="top"/>
    </xf>
    <xf numFmtId="2" fontId="14" fillId="2" borderId="104" xfId="0" applyNumberFormat="1" applyFont="1" applyFill="1" applyBorder="1" applyAlignment="1">
      <alignment horizontal="center" vertical="top" wrapText="1"/>
    </xf>
    <xf numFmtId="1" fontId="14" fillId="0" borderId="44" xfId="0" applyNumberFormat="1" applyFont="1" applyBorder="1" applyAlignment="1">
      <alignment horizontal="center" vertical="top" wrapText="1"/>
    </xf>
    <xf numFmtId="1" fontId="14" fillId="2" borderId="113" xfId="0" applyNumberFormat="1" applyFont="1" applyFill="1" applyBorder="1" applyAlignment="1">
      <alignment horizontal="center" vertical="top" wrapText="1"/>
    </xf>
    <xf numFmtId="1" fontId="14" fillId="0" borderId="100" xfId="0" applyNumberFormat="1" applyFont="1" applyBorder="1" applyAlignment="1">
      <alignment horizontal="center" vertical="top" wrapText="1"/>
    </xf>
    <xf numFmtId="0" fontId="14" fillId="2" borderId="100" xfId="0" applyNumberFormat="1" applyFont="1" applyFill="1" applyBorder="1" applyAlignment="1">
      <alignment horizontal="center" vertical="top" wrapText="1"/>
    </xf>
    <xf numFmtId="0" fontId="14" fillId="0" borderId="111" xfId="0" applyFont="1" applyBorder="1" applyAlignment="1">
      <alignment vertical="top" wrapText="1"/>
    </xf>
    <xf numFmtId="49" fontId="14" fillId="0" borderId="101" xfId="0" applyNumberFormat="1" applyFont="1" applyFill="1" applyBorder="1" applyAlignment="1">
      <alignment horizontal="center" vertical="top" wrapText="1"/>
    </xf>
    <xf numFmtId="49" fontId="14" fillId="0" borderId="105" xfId="0" applyNumberFormat="1" applyFont="1" applyFill="1" applyBorder="1" applyAlignment="1">
      <alignment horizontal="center" vertical="top" wrapText="1"/>
    </xf>
    <xf numFmtId="49" fontId="14" fillId="0" borderId="44" xfId="0" applyNumberFormat="1" applyFont="1" applyFill="1" applyBorder="1" applyAlignment="1">
      <alignment horizontal="center" vertical="top" wrapText="1"/>
    </xf>
    <xf numFmtId="2" fontId="14" fillId="3" borderId="116" xfId="0" applyNumberFormat="1" applyFont="1" applyFill="1" applyBorder="1" applyAlignment="1">
      <alignment horizontal="center" vertical="top" wrapText="1"/>
    </xf>
    <xf numFmtId="1" fontId="14" fillId="0" borderId="102" xfId="0" applyNumberFormat="1" applyFont="1" applyBorder="1" applyAlignment="1">
      <alignment horizontal="left" vertical="top" wrapText="1"/>
    </xf>
    <xf numFmtId="1" fontId="14" fillId="0" borderId="10" xfId="0" applyNumberFormat="1" applyFont="1" applyBorder="1" applyAlignment="1">
      <alignment horizontal="left" vertical="top" wrapText="1"/>
    </xf>
    <xf numFmtId="1" fontId="14" fillId="2" borderId="53" xfId="0" applyNumberFormat="1" applyFont="1" applyFill="1" applyBorder="1" applyAlignment="1">
      <alignment horizontal="center" vertical="top" wrapText="1"/>
    </xf>
    <xf numFmtId="0" fontId="47" fillId="0" borderId="100" xfId="0" applyFont="1" applyFill="1" applyBorder="1" applyAlignment="1">
      <alignment horizontal="center" vertical="top" wrapText="1"/>
    </xf>
    <xf numFmtId="0" fontId="14" fillId="0" borderId="87" xfId="0" applyFont="1" applyFill="1" applyBorder="1" applyAlignment="1">
      <alignment horizontal="center" vertical="top" wrapText="1"/>
    </xf>
    <xf numFmtId="2" fontId="47" fillId="0" borderId="73" xfId="0" applyNumberFormat="1" applyFont="1" applyFill="1" applyBorder="1" applyAlignment="1">
      <alignment horizontal="center" vertical="top" wrapText="1"/>
    </xf>
    <xf numFmtId="0" fontId="14" fillId="0" borderId="116" xfId="0" applyFont="1" applyFill="1" applyBorder="1" applyAlignment="1">
      <alignment horizontal="left" vertical="top" wrapText="1"/>
    </xf>
    <xf numFmtId="0" fontId="14" fillId="0" borderId="111" xfId="0" applyFont="1" applyFill="1" applyBorder="1" applyAlignment="1">
      <alignment horizontal="center" vertical="top" wrapText="1"/>
    </xf>
    <xf numFmtId="2" fontId="14" fillId="0" borderId="43" xfId="0" applyNumberFormat="1" applyFont="1" applyFill="1" applyBorder="1" applyAlignment="1">
      <alignment horizontal="center" vertical="top" wrapText="1"/>
    </xf>
    <xf numFmtId="0" fontId="14" fillId="0" borderId="116" xfId="0" applyFont="1" applyFill="1" applyBorder="1" applyAlignment="1">
      <alignment vertical="top" wrapText="1"/>
    </xf>
    <xf numFmtId="0" fontId="14" fillId="0" borderId="105" xfId="0" applyNumberFormat="1" applyFont="1" applyFill="1" applyBorder="1" applyAlignment="1">
      <alignment horizontal="center" vertical="top" wrapText="1"/>
    </xf>
    <xf numFmtId="0" fontId="14" fillId="0" borderId="112" xfId="0" applyNumberFormat="1" applyFont="1" applyFill="1" applyBorder="1" applyAlignment="1">
      <alignment horizontal="left" vertical="top" wrapText="1"/>
    </xf>
    <xf numFmtId="0" fontId="47" fillId="0" borderId="116" xfId="0" applyFont="1" applyFill="1" applyBorder="1" applyAlignment="1">
      <alignment vertical="top" wrapText="1"/>
    </xf>
    <xf numFmtId="1" fontId="14" fillId="2" borderId="99" xfId="0" applyNumberFormat="1" applyFont="1" applyFill="1" applyBorder="1" applyAlignment="1">
      <alignment horizontal="center" vertical="top" wrapText="1"/>
    </xf>
    <xf numFmtId="1" fontId="47" fillId="0" borderId="100" xfId="0" applyNumberFormat="1" applyFont="1" applyBorder="1" applyAlignment="1">
      <alignment horizontal="center" vertical="top" wrapText="1"/>
    </xf>
    <xf numFmtId="0" fontId="14" fillId="0" borderId="110" xfId="0" applyFont="1" applyFill="1" applyBorder="1" applyAlignment="1" applyProtection="1">
      <alignment horizontal="left" vertical="top" wrapText="1"/>
    </xf>
    <xf numFmtId="1" fontId="14" fillId="2" borderId="101" xfId="0" applyNumberFormat="1" applyFont="1" applyFill="1" applyBorder="1" applyAlignment="1">
      <alignment horizontal="center" vertical="top"/>
    </xf>
    <xf numFmtId="1" fontId="47" fillId="0" borderId="111" xfId="0" applyNumberFormat="1" applyFont="1" applyFill="1" applyBorder="1" applyAlignment="1">
      <alignment vertical="top" wrapText="1"/>
    </xf>
    <xf numFmtId="1" fontId="47" fillId="0" borderId="73" xfId="0" applyNumberFormat="1" applyFont="1" applyFill="1" applyBorder="1" applyAlignment="1">
      <alignment horizontal="center" vertical="top" wrapText="1"/>
    </xf>
    <xf numFmtId="1" fontId="47" fillId="0" borderId="44" xfId="0" applyNumberFormat="1" applyFont="1" applyFill="1" applyBorder="1" applyAlignment="1">
      <alignment vertical="top" wrapText="1"/>
    </xf>
    <xf numFmtId="2" fontId="47" fillId="0" borderId="101" xfId="0" applyNumberFormat="1" applyFont="1" applyBorder="1" applyAlignment="1">
      <alignment vertical="top" wrapText="1"/>
    </xf>
    <xf numFmtId="2" fontId="47" fillId="0" borderId="105" xfId="0" applyNumberFormat="1" applyFont="1" applyBorder="1" applyAlignment="1">
      <alignment vertical="top" wrapText="1"/>
    </xf>
    <xf numFmtId="2" fontId="47" fillId="0" borderId="40" xfId="0" applyNumberFormat="1" applyFont="1" applyFill="1" applyBorder="1" applyAlignment="1">
      <alignment horizontal="left" vertical="top" wrapText="1"/>
    </xf>
    <xf numFmtId="1" fontId="14" fillId="11" borderId="116" xfId="0" applyNumberFormat="1" applyFont="1" applyFill="1" applyBorder="1" applyAlignment="1" applyProtection="1">
      <alignment vertical="top" wrapText="1"/>
      <protection hidden="1"/>
    </xf>
    <xf numFmtId="2" fontId="14" fillId="12" borderId="99" xfId="0" applyNumberFormat="1" applyFont="1" applyFill="1" applyBorder="1" applyAlignment="1">
      <alignment horizontal="center" vertical="top"/>
    </xf>
    <xf numFmtId="0" fontId="47" fillId="0" borderId="116" xfId="0" applyFont="1" applyBorder="1" applyAlignment="1">
      <alignment horizontal="left" vertical="top" wrapText="1"/>
    </xf>
    <xf numFmtId="2" fontId="14" fillId="9" borderId="47" xfId="0" applyNumberFormat="1" applyFont="1" applyFill="1" applyBorder="1" applyAlignment="1">
      <alignment horizontal="center" vertical="top" wrapText="1"/>
    </xf>
    <xf numFmtId="0" fontId="14" fillId="2" borderId="100" xfId="0" applyFont="1" applyFill="1" applyBorder="1" applyAlignment="1">
      <alignment horizontal="center" vertical="top" wrapText="1"/>
    </xf>
    <xf numFmtId="0" fontId="14" fillId="0" borderId="105" xfId="0" applyFont="1" applyBorder="1" applyAlignment="1">
      <alignment horizontal="left" vertical="top" wrapText="1"/>
    </xf>
    <xf numFmtId="0" fontId="49" fillId="0" borderId="116" xfId="0" applyFont="1" applyBorder="1" applyAlignment="1">
      <alignment horizontal="center" vertical="top" wrapText="1"/>
    </xf>
    <xf numFmtId="0" fontId="47" fillId="0" borderId="118" xfId="0" applyFont="1" applyBorder="1" applyAlignment="1">
      <alignment vertical="top" wrapText="1"/>
    </xf>
    <xf numFmtId="0" fontId="47" fillId="0" borderId="112" xfId="0" applyFont="1" applyBorder="1" applyAlignment="1">
      <alignment vertical="top" wrapText="1"/>
    </xf>
    <xf numFmtId="0" fontId="47" fillId="0" borderId="112" xfId="0" applyNumberFormat="1" applyFont="1" applyBorder="1" applyAlignment="1">
      <alignment vertical="top" wrapText="1"/>
    </xf>
    <xf numFmtId="0" fontId="14" fillId="0" borderId="112" xfId="0" applyFont="1" applyFill="1" applyBorder="1" applyAlignment="1">
      <alignment vertical="top" wrapText="1"/>
    </xf>
    <xf numFmtId="0" fontId="17" fillId="0" borderId="20" xfId="0" applyFont="1" applyBorder="1" applyAlignment="1">
      <alignment horizontal="center" vertical="center" wrapText="1"/>
    </xf>
    <xf numFmtId="0" fontId="14" fillId="0" borderId="118" xfId="0" applyFont="1" applyBorder="1" applyAlignment="1">
      <alignment horizontal="left" vertical="top" wrapText="1"/>
    </xf>
    <xf numFmtId="0" fontId="14" fillId="0" borderId="112" xfId="0" applyNumberFormat="1" applyFont="1" applyBorder="1" applyAlignment="1">
      <alignment horizontal="left" vertical="top" wrapText="1"/>
    </xf>
    <xf numFmtId="0" fontId="14" fillId="0" borderId="112" xfId="0" applyNumberFormat="1" applyFont="1" applyFill="1" applyBorder="1" applyAlignment="1">
      <alignment vertical="top" wrapText="1"/>
    </xf>
    <xf numFmtId="0" fontId="14" fillId="0" borderId="112" xfId="0" applyFont="1" applyBorder="1" applyAlignment="1">
      <alignment vertical="top" wrapText="1"/>
    </xf>
    <xf numFmtId="0" fontId="17" fillId="0" borderId="116" xfId="0" applyFont="1" applyFill="1" applyBorder="1" applyAlignment="1">
      <alignment horizontal="center" vertical="center" wrapText="1"/>
    </xf>
    <xf numFmtId="0" fontId="17" fillId="0" borderId="116" xfId="0" applyFont="1" applyBorder="1" applyAlignment="1">
      <alignment horizontal="center" vertical="top" wrapText="1"/>
    </xf>
    <xf numFmtId="0" fontId="14" fillId="0" borderId="118" xfId="0" applyFont="1" applyBorder="1" applyAlignment="1">
      <alignment vertical="top" wrapText="1"/>
    </xf>
    <xf numFmtId="0" fontId="14" fillId="0" borderId="59" xfId="0" applyFont="1" applyBorder="1" applyAlignment="1">
      <alignment vertical="top" wrapText="1"/>
    </xf>
    <xf numFmtId="0" fontId="14" fillId="0" borderId="116" xfId="1" applyFont="1" applyBorder="1" applyAlignment="1" applyProtection="1">
      <alignment vertical="top" wrapText="1"/>
    </xf>
    <xf numFmtId="0" fontId="14" fillId="0" borderId="116" xfId="1" applyFont="1" applyFill="1" applyBorder="1" applyAlignment="1">
      <alignment horizontal="left" vertical="top" wrapText="1"/>
    </xf>
    <xf numFmtId="0" fontId="15" fillId="0" borderId="116" xfId="0" applyFont="1" applyFill="1" applyBorder="1" applyAlignment="1">
      <alignment horizontal="center" vertical="center" wrapText="1"/>
    </xf>
    <xf numFmtId="1" fontId="14" fillId="0" borderId="116" xfId="0" applyNumberFormat="1" applyFont="1" applyFill="1" applyBorder="1" applyAlignment="1" applyProtection="1">
      <alignment horizontal="left" vertical="top" wrapText="1"/>
      <protection hidden="1"/>
    </xf>
    <xf numFmtId="0" fontId="49" fillId="0" borderId="116" xfId="0" applyFont="1" applyBorder="1" applyAlignment="1">
      <alignment horizontal="center" vertical="center" wrapText="1"/>
    </xf>
    <xf numFmtId="0" fontId="47" fillId="0" borderId="112" xfId="0" applyNumberFormat="1" applyFont="1" applyFill="1" applyBorder="1" applyAlignment="1">
      <alignment vertical="top" wrapText="1"/>
    </xf>
    <xf numFmtId="0" fontId="47" fillId="0" borderId="107" xfId="0" applyNumberFormat="1" applyFont="1" applyBorder="1" applyAlignment="1">
      <alignment vertical="top" wrapText="1"/>
    </xf>
    <xf numFmtId="0" fontId="51" fillId="0" borderId="20" xfId="0" applyFont="1" applyFill="1" applyBorder="1" applyAlignment="1">
      <alignment horizontal="center" vertical="top" wrapText="1"/>
    </xf>
    <xf numFmtId="1" fontId="14" fillId="0" borderId="116" xfId="0" applyNumberFormat="1" applyFont="1" applyFill="1" applyBorder="1" applyAlignment="1" applyProtection="1">
      <alignment horizontal="left" vertical="center" wrapText="1"/>
      <protection hidden="1"/>
    </xf>
    <xf numFmtId="0" fontId="14" fillId="0" borderId="107" xfId="0" applyFont="1" applyFill="1" applyBorder="1" applyAlignment="1">
      <alignment horizontal="left" vertical="top" wrapText="1"/>
    </xf>
    <xf numFmtId="0" fontId="47" fillId="0" borderId="116" xfId="0" applyFont="1" applyBorder="1" applyAlignment="1">
      <alignment vertical="top" wrapText="1"/>
    </xf>
    <xf numFmtId="0" fontId="47" fillId="0" borderId="116" xfId="0" applyFont="1" applyFill="1" applyBorder="1" applyAlignment="1">
      <alignment horizontal="left" vertical="top" wrapText="1"/>
    </xf>
    <xf numFmtId="0" fontId="52" fillId="0" borderId="116" xfId="0" applyFont="1" applyFill="1" applyBorder="1" applyAlignment="1">
      <alignment horizontal="left" vertical="top" wrapText="1"/>
    </xf>
    <xf numFmtId="49" fontId="47" fillId="0" borderId="112" xfId="0" applyNumberFormat="1" applyFont="1" applyBorder="1" applyAlignment="1">
      <alignment vertical="top" wrapText="1"/>
    </xf>
    <xf numFmtId="0" fontId="47" fillId="0" borderId="116" xfId="0" applyFont="1" applyBorder="1" applyAlignment="1">
      <alignment horizontal="left" vertical="top"/>
    </xf>
    <xf numFmtId="0" fontId="17" fillId="0" borderId="20" xfId="0" applyFont="1" applyFill="1" applyBorder="1" applyAlignment="1">
      <alignment horizontal="center" vertical="center" wrapText="1"/>
    </xf>
    <xf numFmtId="0" fontId="47" fillId="0" borderId="118" xfId="0" applyFont="1" applyBorder="1" applyAlignment="1">
      <alignment horizontal="left" vertical="top" wrapText="1"/>
    </xf>
    <xf numFmtId="49" fontId="47" fillId="0" borderId="112" xfId="0" applyNumberFormat="1" applyFont="1" applyBorder="1" applyAlignment="1">
      <alignment horizontal="left" vertical="top" wrapText="1"/>
    </xf>
    <xf numFmtId="0" fontId="47" fillId="0" borderId="112" xfId="0" applyFont="1" applyBorder="1" applyAlignment="1">
      <alignment horizontal="left" vertical="top" wrapText="1"/>
    </xf>
    <xf numFmtId="0" fontId="49" fillId="0" borderId="116" xfId="0" applyFont="1" applyFill="1" applyBorder="1" applyAlignment="1">
      <alignment horizontal="center" vertical="center" wrapText="1"/>
    </xf>
    <xf numFmtId="0" fontId="47" fillId="0" borderId="112" xfId="0" applyNumberFormat="1" applyFont="1" applyBorder="1" applyAlignment="1">
      <alignment horizontal="left" vertical="top" wrapText="1"/>
    </xf>
    <xf numFmtId="0" fontId="17" fillId="0" borderId="116" xfId="0" applyFont="1" applyBorder="1" applyAlignment="1">
      <alignment horizontal="center" vertical="center" wrapText="1"/>
    </xf>
    <xf numFmtId="0" fontId="15" fillId="0" borderId="106" xfId="0" applyFont="1" applyFill="1" applyBorder="1" applyAlignment="1" applyProtection="1">
      <alignment horizontal="left" vertical="top" wrapText="1"/>
    </xf>
    <xf numFmtId="0" fontId="14" fillId="0" borderId="110" xfId="0" applyFont="1" applyBorder="1" applyAlignment="1" applyProtection="1">
      <alignment vertical="top" wrapText="1"/>
    </xf>
    <xf numFmtId="17" fontId="14" fillId="0" borderId="110" xfId="0" applyNumberFormat="1" applyFont="1" applyFill="1" applyBorder="1" applyAlignment="1" applyProtection="1">
      <alignment horizontal="left" vertical="top" wrapText="1"/>
    </xf>
    <xf numFmtId="1" fontId="14" fillId="0" borderId="30" xfId="0" applyNumberFormat="1" applyFont="1" applyFill="1" applyBorder="1" applyAlignment="1" applyProtection="1">
      <alignment horizontal="left" vertical="top" wrapText="1"/>
    </xf>
    <xf numFmtId="0" fontId="14" fillId="0" borderId="111" xfId="0" applyFont="1" applyBorder="1" applyAlignment="1">
      <alignment horizontal="left" vertical="top" wrapText="1"/>
    </xf>
    <xf numFmtId="2" fontId="14" fillId="3" borderId="116" xfId="0" applyNumberFormat="1" applyFont="1" applyFill="1" applyBorder="1" applyAlignment="1">
      <alignment horizontal="center" vertical="top"/>
    </xf>
    <xf numFmtId="1" fontId="14" fillId="2" borderId="96" xfId="0" applyNumberFormat="1" applyFont="1" applyFill="1" applyBorder="1" applyAlignment="1">
      <alignment horizontal="center" vertical="top" wrapText="1"/>
    </xf>
    <xf numFmtId="1" fontId="14" fillId="2" borderId="104" xfId="0" applyNumberFormat="1" applyFont="1" applyFill="1" applyBorder="1" applyAlignment="1">
      <alignment horizontal="center" vertical="top" wrapText="1"/>
    </xf>
    <xf numFmtId="0" fontId="14" fillId="0" borderId="69" xfId="0" applyFont="1" applyFill="1" applyBorder="1" applyAlignment="1">
      <alignment horizontal="left" vertical="top" wrapText="1"/>
    </xf>
    <xf numFmtId="2" fontId="14" fillId="2" borderId="121" xfId="0" applyNumberFormat="1" applyFont="1" applyFill="1" applyBorder="1" applyAlignment="1">
      <alignment horizontal="center" vertical="top" wrapText="1"/>
    </xf>
    <xf numFmtId="0" fontId="14" fillId="0" borderId="120" xfId="0" applyFont="1" applyFill="1" applyBorder="1" applyAlignment="1">
      <alignment horizontal="left" vertical="top" wrapText="1"/>
    </xf>
    <xf numFmtId="0" fontId="14" fillId="0" borderId="116" xfId="0" applyFont="1" applyFill="1" applyBorder="1" applyAlignment="1">
      <alignment horizontal="left" vertical="top"/>
    </xf>
    <xf numFmtId="0" fontId="13" fillId="0" borderId="91" xfId="0" applyFont="1" applyFill="1" applyBorder="1">
      <alignment vertical="top"/>
    </xf>
    <xf numFmtId="0" fontId="13" fillId="0" borderId="40" xfId="0" applyFont="1" applyFill="1" applyBorder="1">
      <alignment vertical="top"/>
    </xf>
    <xf numFmtId="1" fontId="14" fillId="11" borderId="116" xfId="0" applyNumberFormat="1" applyFont="1" applyFill="1" applyBorder="1" applyAlignment="1" applyProtection="1">
      <alignment horizontal="left" vertical="top" wrapText="1"/>
      <protection hidden="1"/>
    </xf>
    <xf numFmtId="0" fontId="14" fillId="2" borderId="99" xfId="0" applyFont="1" applyFill="1" applyBorder="1" applyAlignment="1" applyProtection="1">
      <alignment horizontal="center" vertical="top" wrapText="1"/>
      <protection hidden="1"/>
    </xf>
    <xf numFmtId="0" fontId="47" fillId="0" borderId="30" xfId="0" applyFont="1" applyBorder="1" applyAlignment="1">
      <alignment horizontal="left" vertical="top"/>
    </xf>
    <xf numFmtId="0" fontId="47" fillId="0" borderId="116" xfId="0" applyFont="1" applyFill="1" applyBorder="1" applyAlignment="1">
      <alignment horizontal="left" vertical="top"/>
    </xf>
    <xf numFmtId="2" fontId="47" fillId="18" borderId="117" xfId="0" applyNumberFormat="1" applyFont="1" applyFill="1" applyBorder="1" applyAlignment="1">
      <alignment horizontal="right" vertical="top"/>
    </xf>
    <xf numFmtId="0" fontId="47" fillId="0" borderId="19" xfId="0" applyFont="1" applyFill="1" applyBorder="1" applyAlignment="1">
      <alignment horizontal="left" vertical="top"/>
    </xf>
    <xf numFmtId="0" fontId="14" fillId="0" borderId="117" xfId="0" applyFont="1" applyFill="1" applyBorder="1" applyAlignment="1" applyProtection="1">
      <alignment horizontal="left" vertical="top" wrapText="1"/>
      <protection hidden="1"/>
    </xf>
    <xf numFmtId="0" fontId="14" fillId="0" borderId="114" xfId="0" applyFont="1" applyFill="1" applyBorder="1" applyAlignment="1" applyProtection="1">
      <alignment horizontal="left" vertical="top" wrapText="1"/>
      <protection hidden="1"/>
    </xf>
    <xf numFmtId="0" fontId="47" fillId="11" borderId="116" xfId="0" applyFont="1" applyFill="1" applyBorder="1" applyAlignment="1">
      <alignment horizontal="left" vertical="top"/>
    </xf>
    <xf numFmtId="2" fontId="14" fillId="12" borderId="41" xfId="0" applyNumberFormat="1" applyFont="1" applyFill="1" applyBorder="1" applyAlignment="1">
      <alignment horizontal="center" vertical="top"/>
    </xf>
    <xf numFmtId="0" fontId="47" fillId="0" borderId="47" xfId="0" applyFont="1" applyFill="1" applyBorder="1" applyAlignment="1">
      <alignment vertical="top"/>
    </xf>
    <xf numFmtId="0" fontId="47" fillId="0" borderId="31" xfId="0" applyFont="1" applyFill="1" applyBorder="1" applyAlignment="1">
      <alignment horizontal="left" vertical="top"/>
    </xf>
    <xf numFmtId="2" fontId="14" fillId="9" borderId="116" xfId="0" applyNumberFormat="1" applyFont="1" applyFill="1" applyBorder="1" applyAlignment="1">
      <alignment horizontal="center" vertical="top"/>
    </xf>
    <xf numFmtId="0" fontId="14" fillId="0" borderId="68" xfId="0" applyFont="1" applyFill="1" applyBorder="1" applyAlignment="1">
      <alignment vertical="top" wrapText="1"/>
    </xf>
    <xf numFmtId="0" fontId="14" fillId="0" borderId="96" xfId="0" applyFont="1" applyFill="1" applyBorder="1" applyAlignment="1" applyProtection="1">
      <alignment vertical="top" wrapText="1"/>
    </xf>
    <xf numFmtId="0" fontId="14" fillId="0" borderId="106" xfId="0" applyFont="1" applyFill="1" applyBorder="1" applyAlignment="1" applyProtection="1">
      <alignment vertical="top" wrapText="1"/>
    </xf>
    <xf numFmtId="0" fontId="14" fillId="0" borderId="35" xfId="0" applyFont="1" applyFill="1" applyBorder="1" applyAlignment="1" applyProtection="1">
      <alignment vertical="top" wrapText="1"/>
    </xf>
    <xf numFmtId="0" fontId="14" fillId="2" borderId="113" xfId="0" applyFont="1" applyFill="1" applyBorder="1" applyAlignment="1">
      <alignment horizontal="center" vertical="top" wrapText="1"/>
    </xf>
    <xf numFmtId="1" fontId="14" fillId="0" borderId="111" xfId="0" applyNumberFormat="1" applyFont="1" applyBorder="1" applyAlignment="1">
      <alignment horizontal="left" vertical="top" wrapText="1"/>
    </xf>
    <xf numFmtId="0" fontId="14" fillId="2" borderId="109" xfId="0" applyFont="1" applyFill="1" applyBorder="1" applyAlignment="1">
      <alignment horizontal="center" vertical="top" wrapText="1"/>
    </xf>
    <xf numFmtId="0" fontId="14" fillId="2" borderId="104" xfId="0" applyFont="1" applyFill="1" applyBorder="1" applyAlignment="1">
      <alignment horizontal="center" vertical="top" wrapText="1"/>
    </xf>
    <xf numFmtId="1" fontId="14" fillId="8" borderId="105" xfId="0" applyNumberFormat="1" applyFont="1" applyFill="1" applyBorder="1" applyAlignment="1">
      <alignment horizontal="center" vertical="top" wrapText="1"/>
    </xf>
    <xf numFmtId="1" fontId="14" fillId="8" borderId="111" xfId="0" applyNumberFormat="1" applyFont="1" applyFill="1" applyBorder="1" applyAlignment="1">
      <alignment horizontal="center" vertical="top" wrapText="1"/>
    </xf>
    <xf numFmtId="0" fontId="14" fillId="0" borderId="102" xfId="0" applyFont="1" applyFill="1" applyBorder="1" applyAlignment="1">
      <alignment vertical="top" wrapText="1"/>
    </xf>
    <xf numFmtId="0" fontId="14" fillId="0" borderId="101" xfId="0" applyFont="1" applyFill="1" applyBorder="1" applyAlignment="1">
      <alignment vertical="top" wrapText="1"/>
    </xf>
    <xf numFmtId="0" fontId="14" fillId="0" borderId="105" xfId="0" applyFont="1" applyFill="1" applyBorder="1" applyAlignment="1">
      <alignment vertical="top" wrapText="1"/>
    </xf>
    <xf numFmtId="1" fontId="14" fillId="2" borderId="45" xfId="0" applyNumberFormat="1" applyFont="1" applyFill="1" applyBorder="1" applyAlignment="1">
      <alignment horizontal="center" vertical="top"/>
    </xf>
    <xf numFmtId="0" fontId="31" fillId="0" borderId="0" xfId="0" applyNumberFormat="1" applyFont="1" applyAlignment="1">
      <alignment vertical="top"/>
    </xf>
    <xf numFmtId="0" fontId="14" fillId="0" borderId="0" xfId="0" applyNumberFormat="1" applyFont="1" applyAlignment="1">
      <alignment vertical="top"/>
    </xf>
    <xf numFmtId="49" fontId="47" fillId="0" borderId="73" xfId="0" applyNumberFormat="1" applyFont="1" applyFill="1" applyBorder="1" applyAlignment="1">
      <alignment horizontal="center" vertical="top" wrapText="1"/>
    </xf>
    <xf numFmtId="2" fontId="14" fillId="2" borderId="73" xfId="0" applyNumberFormat="1" applyFont="1" applyFill="1" applyBorder="1" applyAlignment="1">
      <alignment horizontal="center" vertical="top"/>
    </xf>
    <xf numFmtId="2" fontId="14" fillId="0" borderId="45" xfId="0" applyNumberFormat="1" applyFont="1" applyBorder="1" applyAlignment="1">
      <alignment horizontal="center" vertical="top" wrapText="1"/>
    </xf>
    <xf numFmtId="0" fontId="31" fillId="0" borderId="0" xfId="0" applyNumberFormat="1" applyFont="1" applyBorder="1" applyAlignment="1">
      <alignment horizontal="center" vertical="top"/>
    </xf>
    <xf numFmtId="0" fontId="14" fillId="0" borderId="0" xfId="0" applyNumberFormat="1" applyFont="1" applyBorder="1" applyAlignment="1">
      <alignment vertical="top"/>
    </xf>
    <xf numFmtId="2" fontId="14" fillId="0" borderId="45" xfId="0" applyNumberFormat="1" applyFont="1" applyFill="1" applyBorder="1" applyAlignment="1">
      <alignment horizontal="center" vertical="top" wrapText="1"/>
    </xf>
    <xf numFmtId="2" fontId="14" fillId="0" borderId="19" xfId="0" applyNumberFormat="1" applyFont="1" applyFill="1" applyBorder="1" applyAlignment="1">
      <alignment horizontal="left" vertical="top" wrapText="1"/>
    </xf>
    <xf numFmtId="2" fontId="47" fillId="0" borderId="40" xfId="0" applyNumberFormat="1" applyFont="1" applyFill="1" applyBorder="1" applyAlignment="1">
      <alignment vertical="top" wrapText="1"/>
    </xf>
    <xf numFmtId="0" fontId="14" fillId="0" borderId="49" xfId="0" applyFont="1" applyFill="1" applyBorder="1" applyAlignment="1">
      <alignment vertical="top" wrapText="1"/>
    </xf>
    <xf numFmtId="0" fontId="14" fillId="2" borderId="78" xfId="0" applyNumberFormat="1" applyFont="1" applyFill="1" applyBorder="1" applyAlignment="1">
      <alignment horizontal="center" vertical="top"/>
    </xf>
    <xf numFmtId="0" fontId="14" fillId="2" borderId="43" xfId="0" applyNumberFormat="1" applyFont="1" applyFill="1" applyBorder="1" applyAlignment="1">
      <alignment horizontal="center" vertical="top"/>
    </xf>
    <xf numFmtId="2" fontId="14" fillId="0" borderId="49" xfId="0" applyNumberFormat="1" applyFont="1" applyFill="1" applyBorder="1" applyAlignment="1">
      <alignment horizontal="center" vertical="top" wrapText="1"/>
    </xf>
    <xf numFmtId="0" fontId="14" fillId="11" borderId="40" xfId="0" applyFont="1" applyFill="1" applyBorder="1" applyAlignment="1">
      <alignment horizontal="left" vertical="top"/>
    </xf>
    <xf numFmtId="1" fontId="14" fillId="0" borderId="49" xfId="0" applyNumberFormat="1" applyFont="1" applyBorder="1" applyAlignment="1">
      <alignment vertical="top" wrapText="1"/>
    </xf>
    <xf numFmtId="0" fontId="14" fillId="2" borderId="113" xfId="0" applyNumberFormat="1" applyFont="1" applyFill="1" applyBorder="1" applyAlignment="1">
      <alignment horizontal="center" vertical="top" wrapText="1"/>
    </xf>
    <xf numFmtId="0" fontId="47" fillId="0" borderId="10" xfId="0" applyNumberFormat="1" applyFont="1" applyFill="1" applyBorder="1" applyAlignment="1">
      <alignment horizontal="center" vertical="top" wrapText="1"/>
    </xf>
    <xf numFmtId="0" fontId="47" fillId="0" borderId="116" xfId="0" applyNumberFormat="1" applyFont="1" applyFill="1" applyBorder="1" applyAlignment="1">
      <alignment horizontal="left" vertical="top" wrapText="1"/>
    </xf>
    <xf numFmtId="2" fontId="14" fillId="12" borderId="30" xfId="0" applyNumberFormat="1" applyFont="1" applyFill="1" applyBorder="1" applyAlignment="1">
      <alignment horizontal="center" vertical="top"/>
    </xf>
    <xf numFmtId="1" fontId="14" fillId="9" borderId="116" xfId="0" applyNumberFormat="1" applyFont="1" applyFill="1" applyBorder="1" applyAlignment="1">
      <alignment horizontal="center" vertical="top" wrapText="1"/>
    </xf>
    <xf numFmtId="0" fontId="14" fillId="2" borderId="55" xfId="0" applyNumberFormat="1" applyFont="1" applyFill="1" applyBorder="1" applyAlignment="1">
      <alignment horizontal="center" vertical="top" wrapText="1"/>
    </xf>
    <xf numFmtId="0" fontId="14" fillId="9" borderId="116" xfId="0" applyNumberFormat="1" applyFont="1" applyFill="1" applyBorder="1" applyAlignment="1">
      <alignment horizontal="center" vertical="top" wrapText="1"/>
    </xf>
    <xf numFmtId="0" fontId="14" fillId="2" borderId="45" xfId="0" applyNumberFormat="1" applyFont="1" applyFill="1" applyBorder="1" applyAlignment="1">
      <alignment horizontal="center" vertical="top"/>
    </xf>
    <xf numFmtId="0" fontId="14" fillId="9" borderId="116" xfId="0" applyNumberFormat="1" applyFont="1" applyFill="1" applyBorder="1" applyAlignment="1">
      <alignment horizontal="center" vertical="top"/>
    </xf>
    <xf numFmtId="0" fontId="47" fillId="0" borderId="0" xfId="0" applyFont="1" applyFill="1" applyBorder="1" applyAlignment="1">
      <alignment horizontal="left" vertical="top"/>
    </xf>
    <xf numFmtId="2" fontId="47" fillId="0" borderId="100" xfId="0" applyNumberFormat="1" applyFont="1" applyBorder="1" applyAlignment="1">
      <alignment horizontal="center" vertical="top"/>
    </xf>
    <xf numFmtId="2" fontId="47" fillId="0" borderId="105" xfId="0" applyNumberFormat="1" applyFont="1" applyFill="1" applyBorder="1" applyAlignment="1">
      <alignment vertical="top" wrapText="1"/>
    </xf>
    <xf numFmtId="2" fontId="47" fillId="0" borderId="101" xfId="0" applyNumberFormat="1" applyFont="1" applyFill="1" applyBorder="1" applyAlignment="1">
      <alignment vertical="top" wrapText="1"/>
    </xf>
    <xf numFmtId="2" fontId="47" fillId="0" borderId="116" xfId="0" applyNumberFormat="1" applyFont="1" applyFill="1" applyBorder="1" applyAlignment="1">
      <alignment vertical="top" wrapText="1"/>
    </xf>
    <xf numFmtId="2" fontId="47" fillId="0" borderId="47" xfId="0" applyNumberFormat="1" applyFont="1" applyFill="1" applyBorder="1" applyAlignment="1">
      <alignment vertical="top" wrapText="1"/>
    </xf>
    <xf numFmtId="1" fontId="47" fillId="0" borderId="99" xfId="0" applyNumberFormat="1" applyFont="1" applyFill="1" applyBorder="1" applyAlignment="1">
      <alignment horizontal="center" vertical="top" wrapText="1"/>
    </xf>
    <xf numFmtId="0" fontId="14" fillId="0" borderId="116" xfId="0" applyFont="1" applyBorder="1" applyAlignment="1">
      <alignment horizontal="left" vertical="top"/>
    </xf>
    <xf numFmtId="1" fontId="14" fillId="0" borderId="101" xfId="0" applyNumberFormat="1" applyFont="1" applyFill="1" applyBorder="1" applyAlignment="1">
      <alignment horizontal="left" vertical="top" wrapText="1"/>
    </xf>
    <xf numFmtId="1" fontId="14" fillId="0" borderId="105" xfId="0" applyNumberFormat="1" applyFont="1" applyFill="1" applyBorder="1" applyAlignment="1">
      <alignment horizontal="left" vertical="top" wrapText="1"/>
    </xf>
    <xf numFmtId="0" fontId="47" fillId="0" borderId="101" xfId="0" applyFont="1" applyBorder="1" applyAlignment="1">
      <alignment vertical="top" wrapText="1"/>
    </xf>
    <xf numFmtId="0" fontId="47" fillId="0" borderId="49" xfId="0" applyFont="1" applyBorder="1" applyAlignment="1">
      <alignment vertical="top" wrapText="1"/>
    </xf>
    <xf numFmtId="1" fontId="47" fillId="0" borderId="45" xfId="0" applyNumberFormat="1" applyFont="1" applyBorder="1" applyAlignment="1">
      <alignment horizontal="center" vertical="top" wrapText="1"/>
    </xf>
    <xf numFmtId="2" fontId="47" fillId="0" borderId="111" xfId="0" applyNumberFormat="1" applyFont="1" applyBorder="1" applyAlignment="1">
      <alignment vertical="top" wrapText="1"/>
    </xf>
    <xf numFmtId="1" fontId="47" fillId="0" borderId="102" xfId="0" applyNumberFormat="1" applyFont="1" applyBorder="1" applyAlignment="1">
      <alignment horizontal="left" vertical="top" wrapText="1"/>
    </xf>
    <xf numFmtId="1" fontId="47" fillId="0" borderId="10" xfId="0" applyNumberFormat="1" applyFont="1" applyBorder="1" applyAlignment="1">
      <alignment horizontal="left" vertical="top" wrapText="1"/>
    </xf>
    <xf numFmtId="0" fontId="14" fillId="0" borderId="12" xfId="0" applyFont="1" applyFill="1" applyBorder="1" applyAlignment="1">
      <alignment horizontal="center" vertical="top" wrapText="1"/>
    </xf>
    <xf numFmtId="0" fontId="47" fillId="0" borderId="107" xfId="0" applyFont="1" applyBorder="1" applyAlignment="1">
      <alignment horizontal="left" vertical="top" wrapText="1"/>
    </xf>
    <xf numFmtId="0" fontId="14" fillId="0" borderId="101" xfId="0" applyFont="1" applyFill="1" applyBorder="1" applyAlignment="1">
      <alignment horizontal="left" vertical="top" wrapText="1"/>
    </xf>
    <xf numFmtId="0" fontId="14" fillId="0" borderId="105" xfId="0" applyFont="1" applyFill="1" applyBorder="1" applyAlignment="1">
      <alignment horizontal="left" vertical="top" wrapText="1"/>
    </xf>
    <xf numFmtId="0" fontId="14" fillId="0" borderId="104" xfId="0" applyFont="1" applyBorder="1" applyAlignment="1" applyProtection="1">
      <alignment horizontal="center" vertical="top"/>
      <protection locked="0"/>
    </xf>
    <xf numFmtId="0" fontId="14" fillId="0" borderId="116" xfId="0" applyFont="1" applyFill="1" applyBorder="1" applyAlignment="1" applyProtection="1">
      <alignment horizontal="left" vertical="top"/>
    </xf>
    <xf numFmtId="0" fontId="47" fillId="0" borderId="43" xfId="0" applyNumberFormat="1" applyFont="1" applyFill="1" applyBorder="1" applyAlignment="1">
      <alignment horizontal="center" vertical="top" wrapText="1"/>
    </xf>
    <xf numFmtId="0" fontId="14" fillId="0" borderId="66" xfId="0" applyFont="1" applyFill="1" applyBorder="1" applyAlignment="1">
      <alignment horizontal="left" vertical="top" wrapText="1"/>
    </xf>
    <xf numFmtId="0" fontId="14" fillId="0" borderId="0" xfId="0" applyFont="1" applyBorder="1" applyAlignment="1">
      <alignment vertical="top" wrapText="1"/>
    </xf>
    <xf numFmtId="0" fontId="14" fillId="0" borderId="106" xfId="0" applyFont="1" applyBorder="1" applyAlignment="1">
      <alignment vertical="top" wrapText="1"/>
    </xf>
    <xf numFmtId="0" fontId="14" fillId="0" borderId="102" xfId="1" applyFont="1" applyBorder="1" applyAlignment="1" applyProtection="1">
      <alignment vertical="top" wrapText="1"/>
    </xf>
    <xf numFmtId="0" fontId="14" fillId="0" borderId="106" xfId="1" applyFont="1" applyBorder="1" applyAlignment="1">
      <alignment vertical="top" wrapText="1"/>
    </xf>
    <xf numFmtId="49" fontId="14" fillId="0" borderId="35" xfId="0" applyNumberFormat="1" applyFont="1" applyFill="1" applyBorder="1" applyAlignment="1" applyProtection="1">
      <alignment horizontal="left" vertical="top" wrapText="1"/>
    </xf>
    <xf numFmtId="0" fontId="14" fillId="14" borderId="31" xfId="0" applyFont="1" applyFill="1" applyBorder="1" applyAlignment="1" applyProtection="1">
      <alignment horizontal="center" vertical="top" wrapText="1"/>
      <protection locked="0"/>
    </xf>
    <xf numFmtId="0" fontId="14" fillId="14" borderId="70" xfId="0" applyFont="1" applyFill="1" applyBorder="1" applyAlignment="1" applyProtection="1">
      <alignment horizontal="center" vertical="top" wrapText="1"/>
      <protection locked="0"/>
    </xf>
    <xf numFmtId="0" fontId="14" fillId="14" borderId="95" xfId="0" applyFont="1" applyFill="1" applyBorder="1" applyAlignment="1" applyProtection="1">
      <alignment horizontal="center" vertical="top" wrapText="1"/>
      <protection locked="0"/>
    </xf>
    <xf numFmtId="0" fontId="14" fillId="14" borderId="57" xfId="0" applyFont="1" applyFill="1" applyBorder="1" applyAlignment="1" applyProtection="1">
      <alignment horizontal="center" vertical="top" wrapText="1"/>
      <protection locked="0"/>
    </xf>
    <xf numFmtId="0" fontId="14" fillId="0" borderId="109" xfId="0" applyFont="1" applyBorder="1" applyAlignment="1" applyProtection="1">
      <alignment horizontal="center" vertical="top"/>
      <protection locked="0"/>
    </xf>
    <xf numFmtId="0" fontId="14" fillId="0" borderId="42" xfId="0" applyFont="1" applyBorder="1" applyAlignment="1" applyProtection="1">
      <alignment horizontal="center" vertical="top"/>
      <protection locked="0"/>
    </xf>
    <xf numFmtId="0" fontId="14" fillId="0" borderId="99" xfId="0" applyFont="1" applyBorder="1" applyAlignment="1" applyProtection="1">
      <alignment horizontal="center" vertical="top"/>
      <protection locked="0"/>
    </xf>
    <xf numFmtId="0" fontId="14" fillId="0" borderId="104" xfId="0" applyFont="1" applyFill="1" applyBorder="1" applyAlignment="1" applyProtection="1">
      <alignment horizontal="center" vertical="top"/>
      <protection locked="0"/>
    </xf>
    <xf numFmtId="1" fontId="14" fillId="0" borderId="99" xfId="0" applyNumberFormat="1" applyFont="1" applyFill="1" applyBorder="1" applyAlignment="1" applyProtection="1">
      <alignment horizontal="center" vertical="top" wrapText="1"/>
      <protection locked="0"/>
    </xf>
    <xf numFmtId="0" fontId="14" fillId="0" borderId="116" xfId="1" applyFont="1" applyFill="1" applyBorder="1" applyAlignment="1" applyProtection="1">
      <alignment horizontal="left" vertical="top"/>
    </xf>
    <xf numFmtId="49" fontId="14" fillId="0" borderId="110" xfId="0" applyNumberFormat="1" applyFont="1" applyFill="1" applyBorder="1" applyAlignment="1" applyProtection="1">
      <alignment horizontal="left" vertical="top" wrapText="1"/>
    </xf>
    <xf numFmtId="0" fontId="14" fillId="14" borderId="8" xfId="0" applyFont="1" applyFill="1" applyBorder="1" applyAlignment="1" applyProtection="1">
      <alignment horizontal="center" vertical="top" wrapText="1"/>
      <protection locked="0"/>
    </xf>
    <xf numFmtId="0" fontId="14" fillId="0" borderId="116" xfId="1" applyFont="1" applyFill="1" applyBorder="1" applyAlignment="1" applyProtection="1">
      <alignment horizontal="left" vertical="top" wrapText="1"/>
    </xf>
    <xf numFmtId="0" fontId="14" fillId="0" borderId="106" xfId="0" applyFont="1" applyBorder="1" applyAlignment="1" applyProtection="1">
      <alignment horizontal="center" vertical="top"/>
      <protection locked="0"/>
    </xf>
    <xf numFmtId="0" fontId="14" fillId="0" borderId="35" xfId="0" applyFont="1" applyBorder="1" applyAlignment="1" applyProtection="1">
      <alignment horizontal="center" vertical="top"/>
      <protection locked="0"/>
    </xf>
    <xf numFmtId="0" fontId="14" fillId="0" borderId="33" xfId="0" applyFont="1" applyFill="1" applyBorder="1" applyAlignment="1" applyProtection="1">
      <alignment horizontal="left" vertical="top" wrapText="1"/>
    </xf>
    <xf numFmtId="0" fontId="14" fillId="0" borderId="50" xfId="0" applyFont="1" applyBorder="1" applyAlignment="1" applyProtection="1">
      <alignment vertical="top" wrapText="1"/>
    </xf>
    <xf numFmtId="0" fontId="14" fillId="0" borderId="120" xfId="0" applyFont="1" applyBorder="1" applyAlignment="1" applyProtection="1">
      <alignment vertical="top" wrapText="1"/>
    </xf>
    <xf numFmtId="0" fontId="14" fillId="0" borderId="33" xfId="0" applyFont="1" applyBorder="1" applyAlignment="1" applyProtection="1">
      <alignment vertical="top" wrapText="1"/>
    </xf>
    <xf numFmtId="0" fontId="14" fillId="0" borderId="110" xfId="0" applyFont="1" applyBorder="1" applyAlignment="1" applyProtection="1">
      <alignment horizontal="center" vertical="top"/>
      <protection locked="0"/>
    </xf>
    <xf numFmtId="0" fontId="14" fillId="0" borderId="60" xfId="0" applyFont="1" applyBorder="1" applyAlignment="1" applyProtection="1">
      <alignment vertical="top" wrapText="1"/>
    </xf>
    <xf numFmtId="1" fontId="14" fillId="0" borderId="59" xfId="0" applyNumberFormat="1" applyFont="1" applyBorder="1" applyAlignment="1" applyProtection="1">
      <alignment horizontal="center" vertical="top" wrapText="1"/>
      <protection locked="0"/>
    </xf>
    <xf numFmtId="0" fontId="14" fillId="0" borderId="115" xfId="0" applyFont="1" applyBorder="1" applyAlignment="1" applyProtection="1">
      <alignment horizontal="center" vertical="top"/>
      <protection locked="0"/>
    </xf>
    <xf numFmtId="1" fontId="14" fillId="0" borderId="115" xfId="0" applyNumberFormat="1" applyFont="1" applyBorder="1" applyAlignment="1" applyProtection="1">
      <alignment horizontal="center" vertical="top" wrapText="1"/>
      <protection locked="0"/>
    </xf>
    <xf numFmtId="0" fontId="14" fillId="0" borderId="120" xfId="0" applyFont="1" applyFill="1" applyBorder="1" applyAlignment="1" applyProtection="1">
      <alignment horizontal="left" vertical="top" wrapText="1"/>
    </xf>
    <xf numFmtId="0" fontId="14" fillId="4" borderId="34" xfId="0" applyFont="1" applyFill="1" applyBorder="1" applyAlignment="1" applyProtection="1">
      <alignment horizontal="center" vertical="top"/>
      <protection locked="0"/>
    </xf>
    <xf numFmtId="0" fontId="14" fillId="4" borderId="104" xfId="0" applyFont="1" applyFill="1" applyBorder="1" applyAlignment="1" applyProtection="1">
      <alignment horizontal="center" vertical="top"/>
      <protection locked="0"/>
    </xf>
    <xf numFmtId="0" fontId="14" fillId="4" borderId="53" xfId="0" applyFont="1" applyFill="1" applyBorder="1" applyAlignment="1">
      <alignment horizontal="center" vertical="top"/>
    </xf>
    <xf numFmtId="0" fontId="14" fillId="0" borderId="121" xfId="0" applyFont="1" applyFill="1" applyBorder="1" applyAlignment="1" applyProtection="1">
      <alignment horizontal="center" vertical="top" wrapText="1"/>
      <protection locked="0"/>
    </xf>
    <xf numFmtId="0" fontId="14" fillId="14" borderId="96" xfId="0" applyFont="1" applyFill="1" applyBorder="1" applyAlignment="1" applyProtection="1">
      <alignment horizontal="center" vertical="top" wrapText="1"/>
      <protection locked="0"/>
    </xf>
    <xf numFmtId="0" fontId="14" fillId="14" borderId="102" xfId="0" applyFont="1" applyFill="1" applyBorder="1" applyAlignment="1" applyProtection="1">
      <alignment horizontal="center" vertical="top" wrapText="1"/>
      <protection locked="0"/>
    </xf>
    <xf numFmtId="2" fontId="23" fillId="21" borderId="41" xfId="1" applyNumberFormat="1" applyFont="1" applyFill="1" applyBorder="1" applyAlignment="1">
      <alignment horizontal="center" vertical="center"/>
    </xf>
    <xf numFmtId="2" fontId="18" fillId="21" borderId="41" xfId="1" applyNumberFormat="1" applyFont="1" applyFill="1" applyBorder="1" applyAlignment="1">
      <alignment horizontal="center" vertical="center"/>
    </xf>
    <xf numFmtId="0" fontId="0" fillId="0" borderId="0" xfId="0" applyBorder="1" applyAlignment="1" applyProtection="1">
      <alignment vertical="top"/>
      <protection locked="0"/>
    </xf>
    <xf numFmtId="0" fontId="15" fillId="0" borderId="118" xfId="0" applyFont="1" applyFill="1" applyBorder="1" applyAlignment="1" applyProtection="1">
      <alignment horizontal="center" wrapText="1"/>
      <protection locked="0"/>
    </xf>
    <xf numFmtId="0" fontId="13" fillId="0" borderId="112" xfId="0" applyFont="1" applyFill="1" applyBorder="1" applyAlignment="1" applyProtection="1">
      <alignment horizontal="center" vertical="top" wrapText="1"/>
      <protection locked="0"/>
    </xf>
    <xf numFmtId="14" fontId="13" fillId="0" borderId="112" xfId="0" applyNumberFormat="1" applyFont="1" applyFill="1" applyBorder="1" applyAlignment="1" applyProtection="1">
      <alignment horizontal="center" vertical="top" wrapText="1"/>
      <protection locked="0"/>
    </xf>
    <xf numFmtId="164" fontId="13" fillId="0" borderId="112" xfId="0" applyNumberFormat="1" applyFont="1" applyBorder="1" applyAlignment="1" applyProtection="1">
      <alignment horizontal="center" vertical="top" wrapText="1"/>
      <protection locked="0"/>
    </xf>
    <xf numFmtId="2" fontId="13" fillId="0" borderId="112" xfId="0" applyNumberFormat="1" applyFont="1" applyBorder="1" applyAlignment="1" applyProtection="1">
      <alignment horizontal="center" vertical="top" wrapText="1"/>
      <protection locked="0"/>
    </xf>
    <xf numFmtId="9" fontId="13" fillId="0" borderId="112" xfId="0" applyNumberFormat="1" applyFont="1" applyBorder="1" applyAlignment="1" applyProtection="1">
      <alignment horizontal="center" vertical="top" wrapText="1"/>
      <protection locked="0"/>
    </xf>
    <xf numFmtId="1" fontId="13" fillId="0" borderId="112" xfId="0" applyNumberFormat="1" applyFont="1" applyFill="1" applyBorder="1" applyAlignment="1" applyProtection="1">
      <alignment horizontal="center" vertical="top" wrapText="1"/>
      <protection locked="0"/>
    </xf>
    <xf numFmtId="0" fontId="26" fillId="0" borderId="21" xfId="0" applyFont="1" applyBorder="1" applyAlignment="1" applyProtection="1">
      <alignment vertical="top" wrapText="1"/>
      <protection locked="0"/>
    </xf>
    <xf numFmtId="0" fontId="26" fillId="0" borderId="0" xfId="0" applyFont="1" applyFill="1" applyBorder="1" applyAlignment="1" applyProtection="1">
      <alignment vertical="top"/>
      <protection locked="0"/>
    </xf>
    <xf numFmtId="0" fontId="26" fillId="0" borderId="96" xfId="0" applyFont="1" applyBorder="1" applyAlignment="1">
      <alignment vertical="top" wrapText="1"/>
    </xf>
    <xf numFmtId="0" fontId="26" fillId="0" borderId="106" xfId="0" applyFont="1" applyBorder="1" applyAlignment="1">
      <alignment vertical="top" wrapText="1"/>
    </xf>
    <xf numFmtId="0" fontId="26" fillId="0" borderId="35" xfId="0" applyFont="1" applyBorder="1" applyAlignment="1" applyProtection="1">
      <alignment vertical="top" wrapText="1"/>
      <protection locked="0"/>
    </xf>
    <xf numFmtId="0" fontId="14" fillId="0" borderId="118" xfId="0" applyFont="1" applyBorder="1" applyAlignment="1">
      <alignment horizontal="center" vertical="top" wrapText="1"/>
    </xf>
    <xf numFmtId="0" fontId="14" fillId="0" borderId="112" xfId="0" applyFont="1" applyBorder="1" applyAlignment="1">
      <alignment horizontal="center" vertical="top" wrapText="1"/>
    </xf>
    <xf numFmtId="2" fontId="75" fillId="21" borderId="41" xfId="1" applyNumberFormat="1" applyFont="1" applyFill="1" applyBorder="1" applyAlignment="1">
      <alignment horizontal="center" vertical="center"/>
    </xf>
    <xf numFmtId="2" fontId="23" fillId="21" borderId="4" xfId="1" applyNumberFormat="1" applyFont="1" applyFill="1" applyBorder="1" applyAlignment="1">
      <alignment horizontal="center" vertical="center"/>
    </xf>
    <xf numFmtId="0" fontId="14" fillId="0" borderId="101" xfId="0" applyFont="1" applyBorder="1" applyAlignment="1">
      <alignment vertical="top" wrapText="1"/>
    </xf>
    <xf numFmtId="0" fontId="14" fillId="0" borderId="105" xfId="0" applyFont="1" applyBorder="1" applyAlignment="1">
      <alignment vertical="top" wrapText="1"/>
    </xf>
    <xf numFmtId="0" fontId="24" fillId="9" borderId="30" xfId="0" applyFont="1" applyFill="1" applyBorder="1" applyAlignment="1">
      <alignment horizontal="center" vertical="center" wrapText="1"/>
    </xf>
    <xf numFmtId="0" fontId="24" fillId="9" borderId="4" xfId="0" applyFont="1" applyFill="1" applyBorder="1" applyAlignment="1">
      <alignment horizontal="center" vertical="center" wrapText="1"/>
    </xf>
    <xf numFmtId="49" fontId="24" fillId="9" borderId="41" xfId="0" applyNumberFormat="1" applyFont="1" applyFill="1" applyBorder="1" applyAlignment="1">
      <alignment horizontal="center" vertical="center" wrapText="1"/>
    </xf>
    <xf numFmtId="0" fontId="24" fillId="9" borderId="47" xfId="0" applyFont="1" applyFill="1" applyBorder="1" applyAlignment="1">
      <alignment horizontal="center" vertical="center" wrapText="1"/>
    </xf>
    <xf numFmtId="1" fontId="24" fillId="9" borderId="4" xfId="0" applyNumberFormat="1" applyFont="1" applyFill="1" applyBorder="1" applyAlignment="1" applyProtection="1">
      <alignment horizontal="center" vertical="center" wrapText="1"/>
      <protection hidden="1"/>
    </xf>
    <xf numFmtId="0" fontId="24" fillId="9" borderId="47" xfId="0" applyFont="1" applyFill="1" applyBorder="1" applyAlignment="1" applyProtection="1">
      <alignment horizontal="center" vertical="center" wrapText="1"/>
      <protection hidden="1"/>
    </xf>
    <xf numFmtId="2" fontId="24" fillId="9" borderId="30" xfId="0" applyNumberFormat="1" applyFont="1" applyFill="1" applyBorder="1" applyAlignment="1" applyProtection="1">
      <alignment horizontal="center" vertical="center" wrapText="1"/>
    </xf>
    <xf numFmtId="0" fontId="74" fillId="9" borderId="4" xfId="0" applyFont="1" applyFill="1" applyBorder="1" applyAlignment="1">
      <alignment horizontal="center" vertical="center" wrapText="1"/>
    </xf>
    <xf numFmtId="0" fontId="74" fillId="9" borderId="41" xfId="0" applyFont="1" applyFill="1" applyBorder="1" applyAlignment="1">
      <alignment horizontal="center" vertical="center" wrapText="1"/>
    </xf>
    <xf numFmtId="0" fontId="31" fillId="0" borderId="0" xfId="0" applyFont="1" applyAlignment="1">
      <alignment horizontal="center" wrapText="1"/>
    </xf>
    <xf numFmtId="0" fontId="31" fillId="0" borderId="0" xfId="0" applyFont="1" applyAlignment="1">
      <alignment wrapText="1"/>
    </xf>
    <xf numFmtId="0" fontId="24" fillId="22" borderId="4" xfId="0" applyFont="1" applyFill="1" applyBorder="1" applyAlignment="1">
      <alignment horizontal="center" vertical="center" wrapText="1"/>
    </xf>
    <xf numFmtId="0" fontId="74" fillId="22" borderId="4" xfId="0" applyFont="1" applyFill="1" applyBorder="1" applyAlignment="1">
      <alignment horizontal="center" vertical="center" wrapText="1"/>
    </xf>
    <xf numFmtId="0" fontId="24" fillId="22" borderId="47" xfId="0" applyFont="1" applyFill="1" applyBorder="1" applyAlignment="1">
      <alignment horizontal="center" vertical="center" wrapText="1"/>
    </xf>
    <xf numFmtId="1" fontId="24" fillId="22" borderId="47" xfId="0" applyNumberFormat="1" applyFont="1" applyFill="1" applyBorder="1" applyAlignment="1" applyProtection="1">
      <alignment horizontal="center" vertical="center" wrapText="1"/>
      <protection hidden="1"/>
    </xf>
    <xf numFmtId="0" fontId="24" fillId="22" borderId="4" xfId="0" applyFont="1" applyFill="1" applyBorder="1" applyAlignment="1" applyProtection="1">
      <alignment horizontal="center" vertical="center" wrapText="1"/>
      <protection hidden="1"/>
    </xf>
    <xf numFmtId="2" fontId="24" fillId="22" borderId="47" xfId="0" applyNumberFormat="1" applyFont="1" applyFill="1" applyBorder="1" applyAlignment="1" applyProtection="1">
      <alignment horizontal="center" vertical="center" wrapText="1"/>
    </xf>
    <xf numFmtId="0" fontId="24" fillId="0" borderId="0" xfId="0" applyFont="1" applyAlignment="1">
      <alignment horizontal="center" vertical="center" wrapText="1"/>
    </xf>
    <xf numFmtId="0" fontId="14" fillId="0" borderId="3" xfId="0" applyFont="1" applyBorder="1" applyAlignment="1">
      <alignment horizontal="left" vertical="top" wrapText="1"/>
    </xf>
    <xf numFmtId="0" fontId="15" fillId="22" borderId="116" xfId="0" applyFont="1" applyFill="1" applyBorder="1" applyAlignment="1">
      <alignment horizontal="center" vertical="center" wrapText="1"/>
    </xf>
    <xf numFmtId="0" fontId="24" fillId="9" borderId="116" xfId="0" applyFont="1" applyFill="1" applyBorder="1" applyAlignment="1">
      <alignment horizontal="center" vertical="center" wrapText="1"/>
    </xf>
    <xf numFmtId="1" fontId="24" fillId="9" borderId="116" xfId="0" applyNumberFormat="1" applyFont="1" applyFill="1" applyBorder="1" applyAlignment="1" applyProtection="1">
      <alignment horizontal="center" vertical="center" wrapText="1"/>
      <protection hidden="1"/>
    </xf>
    <xf numFmtId="0" fontId="74" fillId="9" borderId="116" xfId="0" applyFont="1" applyFill="1" applyBorder="1" applyAlignment="1">
      <alignment horizontal="center" vertical="center" wrapText="1"/>
    </xf>
    <xf numFmtId="0" fontId="24" fillId="22" borderId="89" xfId="0" applyFont="1" applyFill="1" applyBorder="1" applyAlignment="1">
      <alignment horizontal="center" vertical="center" wrapText="1"/>
    </xf>
    <xf numFmtId="49" fontId="24" fillId="9" borderId="27" xfId="0" applyNumberFormat="1" applyFont="1" applyFill="1" applyBorder="1" applyAlignment="1">
      <alignment horizontal="center" vertical="center" wrapText="1"/>
    </xf>
    <xf numFmtId="1" fontId="14" fillId="0" borderId="114" xfId="0" applyNumberFormat="1" applyFont="1" applyBorder="1" applyAlignment="1">
      <alignment horizontal="center" vertical="top" wrapText="1"/>
    </xf>
    <xf numFmtId="0" fontId="14" fillId="0" borderId="116" xfId="0" applyFont="1" applyBorder="1" applyAlignment="1">
      <alignment vertical="top" wrapText="1"/>
    </xf>
    <xf numFmtId="0" fontId="14" fillId="0" borderId="39" xfId="0" applyFont="1" applyBorder="1" applyAlignment="1">
      <alignment vertical="top" wrapText="1"/>
    </xf>
    <xf numFmtId="2" fontId="14" fillId="4" borderId="116" xfId="0" applyNumberFormat="1" applyFont="1" applyFill="1" applyBorder="1" applyAlignment="1">
      <alignment horizontal="center" vertical="top" wrapText="1"/>
    </xf>
    <xf numFmtId="0" fontId="47" fillId="0" borderId="59" xfId="0" applyFont="1" applyBorder="1" applyAlignment="1">
      <alignment horizontal="left" vertical="top" wrapText="1"/>
    </xf>
    <xf numFmtId="0" fontId="14" fillId="0" borderId="10" xfId="0" applyFont="1" applyBorder="1" applyAlignment="1">
      <alignment vertical="top" wrapText="1"/>
    </xf>
    <xf numFmtId="1" fontId="41" fillId="0" borderId="27" xfId="0" applyNumberFormat="1" applyFont="1" applyBorder="1" applyAlignment="1">
      <alignment horizontal="center" vertical="top" wrapText="1"/>
    </xf>
    <xf numFmtId="0" fontId="24" fillId="0" borderId="47" xfId="0" applyFont="1" applyBorder="1" applyAlignment="1">
      <alignment horizontal="center" vertical="center" wrapText="1"/>
    </xf>
    <xf numFmtId="0" fontId="24" fillId="0" borderId="10" xfId="0" applyFont="1" applyBorder="1" applyAlignment="1">
      <alignment horizontal="center" vertical="center" wrapText="1"/>
    </xf>
    <xf numFmtId="0" fontId="35" fillId="0" borderId="0" xfId="0" applyFont="1" applyBorder="1" applyAlignment="1">
      <alignment vertical="top" wrapText="1"/>
    </xf>
    <xf numFmtId="0" fontId="24" fillId="0" borderId="0" xfId="0" applyFont="1" applyBorder="1" applyAlignment="1">
      <alignment horizontal="center" vertical="center" wrapText="1"/>
    </xf>
    <xf numFmtId="0" fontId="24" fillId="0" borderId="57" xfId="0" applyFont="1" applyBorder="1" applyAlignment="1">
      <alignment horizontal="center" vertical="center" wrapText="1"/>
    </xf>
    <xf numFmtId="0" fontId="74" fillId="22" borderId="40" xfId="0" applyFont="1" applyFill="1" applyBorder="1" applyAlignment="1">
      <alignment horizontal="center" vertical="center" wrapText="1"/>
    </xf>
    <xf numFmtId="0" fontId="24" fillId="0" borderId="0" xfId="0" applyFont="1" applyAlignment="1">
      <alignment vertical="top" wrapText="1"/>
    </xf>
    <xf numFmtId="0" fontId="47" fillId="0" borderId="102" xfId="0" applyFont="1" applyFill="1" applyBorder="1" applyAlignment="1">
      <alignment horizontal="left" vertical="top" wrapText="1"/>
    </xf>
    <xf numFmtId="0" fontId="47" fillId="0" borderId="110" xfId="0" applyFont="1" applyFill="1" applyBorder="1" applyAlignment="1">
      <alignment horizontal="left" vertical="top" wrapText="1"/>
    </xf>
    <xf numFmtId="0" fontId="47" fillId="0" borderId="117" xfId="0" applyNumberFormat="1" applyFont="1" applyFill="1" applyBorder="1" applyAlignment="1">
      <alignment horizontal="left" vertical="top" wrapText="1"/>
    </xf>
    <xf numFmtId="1" fontId="14" fillId="0" borderId="116" xfId="0" applyNumberFormat="1" applyFont="1" applyBorder="1" applyAlignment="1">
      <alignment horizontal="left" vertical="top" wrapText="1"/>
    </xf>
    <xf numFmtId="2" fontId="14" fillId="9" borderId="30" xfId="0" applyNumberFormat="1" applyFont="1" applyFill="1" applyBorder="1" applyAlignment="1">
      <alignment horizontal="center" vertical="top"/>
    </xf>
    <xf numFmtId="0" fontId="47" fillId="0" borderId="101" xfId="0" applyFont="1" applyFill="1" applyBorder="1" applyAlignment="1">
      <alignment horizontal="left" vertical="top" wrapText="1"/>
    </xf>
    <xf numFmtId="0" fontId="47" fillId="0" borderId="105" xfId="0" applyFont="1" applyFill="1" applyBorder="1" applyAlignment="1">
      <alignment horizontal="left" vertical="top" wrapText="1"/>
    </xf>
    <xf numFmtId="0" fontId="47" fillId="0" borderId="44" xfId="0" applyFont="1" applyFill="1" applyBorder="1" applyAlignment="1">
      <alignment horizontal="left" vertical="top" wrapText="1"/>
    </xf>
    <xf numFmtId="49" fontId="47" fillId="0" borderId="41" xfId="0" applyNumberFormat="1" applyFont="1" applyFill="1" applyBorder="1" applyAlignment="1">
      <alignment horizontal="left" vertical="top" wrapText="1"/>
    </xf>
    <xf numFmtId="49" fontId="47" fillId="0" borderId="101" xfId="0" applyNumberFormat="1" applyFont="1" applyFill="1" applyBorder="1" applyAlignment="1">
      <alignment horizontal="left" vertical="top" wrapText="1"/>
    </xf>
    <xf numFmtId="49" fontId="47" fillId="0" borderId="105" xfId="0" applyNumberFormat="1" applyFont="1" applyFill="1" applyBorder="1" applyAlignment="1">
      <alignment horizontal="left" vertical="top" wrapText="1"/>
    </xf>
    <xf numFmtId="49" fontId="47" fillId="0" borderId="111" xfId="0" applyNumberFormat="1" applyFont="1" applyFill="1" applyBorder="1" applyAlignment="1">
      <alignment horizontal="left" vertical="top" wrapText="1"/>
    </xf>
    <xf numFmtId="0" fontId="14" fillId="0" borderId="47" xfId="0" applyFont="1" applyFill="1" applyBorder="1" applyAlignment="1">
      <alignment horizontal="left" vertical="top" wrapText="1"/>
    </xf>
    <xf numFmtId="0" fontId="14" fillId="0" borderId="99" xfId="0" applyFont="1" applyFill="1" applyBorder="1" applyAlignment="1">
      <alignment horizontal="center" vertical="top" wrapText="1"/>
    </xf>
    <xf numFmtId="1" fontId="14" fillId="2" borderId="114" xfId="0" applyNumberFormat="1" applyFont="1" applyFill="1" applyBorder="1" applyAlignment="1">
      <alignment horizontal="center" vertical="top" wrapText="1"/>
    </xf>
    <xf numFmtId="0" fontId="14" fillId="0" borderId="116" xfId="0" applyNumberFormat="1" applyFont="1" applyFill="1" applyBorder="1" applyAlignment="1">
      <alignment horizontal="left" vertical="top" wrapText="1"/>
    </xf>
    <xf numFmtId="49" fontId="14" fillId="0" borderId="43" xfId="0" applyNumberFormat="1" applyFont="1" applyFill="1" applyBorder="1" applyAlignment="1">
      <alignment horizontal="center" vertical="top" wrapText="1"/>
    </xf>
    <xf numFmtId="49" fontId="14" fillId="0" borderId="47" xfId="0" applyNumberFormat="1" applyFont="1" applyFill="1" applyBorder="1" applyAlignment="1">
      <alignment horizontal="left" vertical="top" wrapText="1"/>
    </xf>
    <xf numFmtId="2" fontId="14" fillId="2" borderId="122" xfId="0" applyNumberFormat="1" applyFont="1" applyFill="1" applyBorder="1" applyAlignment="1">
      <alignment horizontal="center" vertical="top" wrapText="1"/>
    </xf>
    <xf numFmtId="2" fontId="14" fillId="0" borderId="99" xfId="0" applyNumberFormat="1" applyFont="1" applyFill="1" applyBorder="1" applyAlignment="1">
      <alignment horizontal="center" vertical="top" wrapText="1"/>
    </xf>
    <xf numFmtId="0" fontId="14" fillId="2" borderId="114" xfId="0" applyNumberFormat="1" applyFont="1" applyFill="1" applyBorder="1" applyAlignment="1">
      <alignment horizontal="center" vertical="top" wrapText="1"/>
    </xf>
    <xf numFmtId="2" fontId="14" fillId="0" borderId="114" xfId="0" applyNumberFormat="1" applyFont="1" applyFill="1" applyBorder="1" applyAlignment="1">
      <alignment horizontal="center" vertical="top" wrapText="1"/>
    </xf>
    <xf numFmtId="2" fontId="14" fillId="0" borderId="10" xfId="0" applyNumberFormat="1" applyFont="1" applyFill="1" applyBorder="1" applyAlignment="1">
      <alignment horizontal="center" vertical="top" wrapText="1"/>
    </xf>
    <xf numFmtId="0" fontId="14" fillId="0" borderId="117" xfId="0" applyNumberFormat="1" applyFont="1" applyBorder="1" applyAlignment="1">
      <alignment vertical="top" wrapText="1"/>
    </xf>
    <xf numFmtId="0" fontId="14" fillId="2" borderId="113" xfId="0" applyNumberFormat="1" applyFont="1" applyFill="1" applyBorder="1" applyAlignment="1">
      <alignment horizontal="center" vertical="top"/>
    </xf>
    <xf numFmtId="0" fontId="47" fillId="0" borderId="41" xfId="0" applyNumberFormat="1" applyFont="1" applyFill="1" applyBorder="1" applyAlignment="1">
      <alignment horizontal="left" vertical="top" wrapText="1"/>
    </xf>
    <xf numFmtId="0" fontId="47" fillId="0" borderId="49" xfId="0" applyNumberFormat="1" applyFont="1" applyFill="1" applyBorder="1" applyAlignment="1">
      <alignment horizontal="left" vertical="top" wrapText="1"/>
    </xf>
    <xf numFmtId="0" fontId="24" fillId="9" borderId="20" xfId="0" applyFont="1" applyFill="1" applyBorder="1" applyAlignment="1">
      <alignment horizontal="center" vertical="center" wrapText="1"/>
    </xf>
    <xf numFmtId="0" fontId="24" fillId="9" borderId="59" xfId="0" applyFont="1" applyFill="1" applyBorder="1" applyAlignment="1">
      <alignment horizontal="center" vertical="center" wrapText="1"/>
    </xf>
    <xf numFmtId="1" fontId="24" fillId="9" borderId="20" xfId="0" applyNumberFormat="1" applyFont="1" applyFill="1" applyBorder="1" applyAlignment="1" applyProtection="1">
      <alignment horizontal="center" vertical="center" wrapText="1"/>
      <protection hidden="1"/>
    </xf>
    <xf numFmtId="0" fontId="24" fillId="9" borderId="59" xfId="0" applyFont="1" applyFill="1" applyBorder="1" applyAlignment="1" applyProtection="1">
      <alignment horizontal="center" vertical="center" wrapText="1"/>
      <protection hidden="1"/>
    </xf>
    <xf numFmtId="2" fontId="24" fillId="9" borderId="31" xfId="0" applyNumberFormat="1" applyFont="1" applyFill="1" applyBorder="1" applyAlignment="1" applyProtection="1">
      <alignment horizontal="center" vertical="center" wrapText="1"/>
    </xf>
    <xf numFmtId="0" fontId="74" fillId="9" borderId="20" xfId="0" applyFont="1" applyFill="1" applyBorder="1" applyAlignment="1">
      <alignment horizontal="center" vertical="center" wrapText="1"/>
    </xf>
    <xf numFmtId="1" fontId="14" fillId="9" borderId="116" xfId="0" applyNumberFormat="1" applyFont="1" applyFill="1" applyBorder="1" applyAlignment="1">
      <alignment horizontal="center" vertical="top"/>
    </xf>
    <xf numFmtId="2" fontId="14" fillId="9" borderId="55" xfId="0" applyNumberFormat="1" applyFont="1" applyFill="1" applyBorder="1" applyAlignment="1">
      <alignment horizontal="center" vertical="top"/>
    </xf>
    <xf numFmtId="0" fontId="14" fillId="0" borderId="117" xfId="0" applyFont="1" applyFill="1" applyBorder="1" applyAlignment="1">
      <alignment vertical="top" wrapText="1"/>
    </xf>
    <xf numFmtId="0" fontId="14" fillId="0" borderId="117" xfId="0" applyFont="1" applyBorder="1" applyAlignment="1">
      <alignment vertical="top" wrapText="1"/>
    </xf>
    <xf numFmtId="2" fontId="47" fillId="0" borderId="47" xfId="0" applyNumberFormat="1" applyFont="1" applyBorder="1" applyAlignment="1">
      <alignment vertical="top" wrapText="1"/>
    </xf>
    <xf numFmtId="1" fontId="47" fillId="0" borderId="99" xfId="0" applyNumberFormat="1" applyFont="1" applyBorder="1" applyAlignment="1">
      <alignment horizontal="center" vertical="top" wrapText="1"/>
    </xf>
    <xf numFmtId="1" fontId="14" fillId="2" borderId="114" xfId="0" applyNumberFormat="1" applyFont="1" applyFill="1" applyBorder="1" applyAlignment="1">
      <alignment horizontal="center" vertical="top"/>
    </xf>
    <xf numFmtId="0" fontId="14" fillId="0" borderId="47" xfId="0" applyFont="1" applyFill="1" applyBorder="1" applyAlignment="1">
      <alignment vertical="top" wrapText="1"/>
    </xf>
    <xf numFmtId="0" fontId="14" fillId="0" borderId="114" xfId="0" applyFont="1" applyFill="1" applyBorder="1" applyAlignment="1">
      <alignment horizontal="center" vertical="top" wrapText="1"/>
    </xf>
    <xf numFmtId="1" fontId="14" fillId="0" borderId="117" xfId="0" applyNumberFormat="1" applyFont="1" applyFill="1" applyBorder="1" applyAlignment="1">
      <alignment horizontal="left" vertical="top" wrapText="1"/>
    </xf>
    <xf numFmtId="0" fontId="14" fillId="0" borderId="70" xfId="0" applyNumberFormat="1" applyFont="1" applyFill="1" applyBorder="1" applyAlignment="1">
      <alignment horizontal="left" vertical="top" wrapText="1"/>
    </xf>
    <xf numFmtId="0" fontId="14" fillId="0" borderId="100" xfId="0" applyNumberFormat="1" applyFont="1" applyFill="1" applyBorder="1" applyAlignment="1">
      <alignment horizontal="center" vertical="top" wrapText="1"/>
    </xf>
    <xf numFmtId="0" fontId="14" fillId="0" borderId="120" xfId="0" applyNumberFormat="1" applyFont="1" applyFill="1" applyBorder="1" applyAlignment="1">
      <alignment horizontal="left" vertical="top" wrapText="1"/>
    </xf>
    <xf numFmtId="0" fontId="14" fillId="0" borderId="24" xfId="0" applyNumberFormat="1" applyFont="1" applyFill="1" applyBorder="1" applyAlignment="1">
      <alignment horizontal="left" vertical="top" wrapText="1"/>
    </xf>
    <xf numFmtId="0" fontId="14" fillId="0" borderId="43" xfId="0" applyNumberFormat="1" applyFont="1" applyFill="1" applyBorder="1" applyAlignment="1">
      <alignment horizontal="center" vertical="top" wrapText="1"/>
    </xf>
    <xf numFmtId="0" fontId="47" fillId="0" borderId="17" xfId="0" applyNumberFormat="1" applyFont="1" applyFill="1" applyBorder="1" applyAlignment="1">
      <alignment vertical="top" wrapText="1"/>
    </xf>
    <xf numFmtId="2" fontId="14" fillId="3" borderId="55" xfId="0" applyNumberFormat="1" applyFont="1" applyFill="1" applyBorder="1" applyAlignment="1">
      <alignment horizontal="center" vertical="top" wrapText="1"/>
    </xf>
    <xf numFmtId="2" fontId="14" fillId="2" borderId="114" xfId="0" applyNumberFormat="1" applyFont="1" applyFill="1" applyBorder="1" applyAlignment="1" applyProtection="1">
      <alignment horizontal="center" vertical="top" wrapText="1"/>
    </xf>
    <xf numFmtId="0" fontId="24" fillId="22" borderId="116" xfId="0" applyFont="1" applyFill="1" applyBorder="1" applyAlignment="1">
      <alignment horizontal="center" vertical="center" wrapText="1"/>
    </xf>
    <xf numFmtId="0" fontId="14" fillId="0" borderId="30" xfId="0" applyFont="1" applyFill="1" applyBorder="1" applyAlignment="1">
      <alignment vertical="top" wrapText="1"/>
    </xf>
    <xf numFmtId="1" fontId="14" fillId="2" borderId="49" xfId="0" applyNumberFormat="1" applyFont="1" applyFill="1" applyBorder="1" applyAlignment="1">
      <alignment horizontal="center" vertical="top"/>
    </xf>
    <xf numFmtId="0" fontId="24" fillId="9" borderId="19" xfId="0" applyFont="1" applyFill="1" applyBorder="1" applyAlignment="1">
      <alignment horizontal="center" vertical="center" wrapText="1"/>
    </xf>
    <xf numFmtId="0" fontId="24" fillId="9" borderId="26" xfId="0" applyFont="1" applyFill="1" applyBorder="1" applyAlignment="1">
      <alignment horizontal="center" vertical="center" wrapText="1"/>
    </xf>
    <xf numFmtId="49" fontId="24" fillId="9" borderId="67" xfId="0" applyNumberFormat="1" applyFont="1" applyFill="1" applyBorder="1" applyAlignment="1">
      <alignment horizontal="center" vertical="center" wrapText="1"/>
    </xf>
    <xf numFmtId="0" fontId="24" fillId="9" borderId="0" xfId="0" applyFont="1" applyFill="1" applyBorder="1" applyAlignment="1">
      <alignment horizontal="center" vertical="center" wrapText="1"/>
    </xf>
    <xf numFmtId="1" fontId="24" fillId="9" borderId="26" xfId="0" applyNumberFormat="1" applyFont="1" applyFill="1" applyBorder="1" applyAlignment="1" applyProtection="1">
      <alignment horizontal="center" vertical="center" wrapText="1"/>
      <protection hidden="1"/>
    </xf>
    <xf numFmtId="0" fontId="24" fillId="9" borderId="0" xfId="0" applyFont="1" applyFill="1" applyBorder="1" applyAlignment="1" applyProtection="1">
      <alignment horizontal="center" vertical="center" wrapText="1"/>
      <protection hidden="1"/>
    </xf>
    <xf numFmtId="2" fontId="24" fillId="9" borderId="57" xfId="0" applyNumberFormat="1" applyFont="1" applyFill="1" applyBorder="1" applyAlignment="1" applyProtection="1">
      <alignment horizontal="center" vertical="center" wrapText="1"/>
    </xf>
    <xf numFmtId="0" fontId="74" fillId="9" borderId="26" xfId="0" applyFont="1" applyFill="1" applyBorder="1" applyAlignment="1">
      <alignment horizontal="center" vertical="center" wrapText="1"/>
    </xf>
    <xf numFmtId="0" fontId="74" fillId="9" borderId="68" xfId="0" applyFont="1" applyFill="1" applyBorder="1" applyAlignment="1">
      <alignment horizontal="center" vertical="center" wrapText="1"/>
    </xf>
    <xf numFmtId="49" fontId="47" fillId="0" borderId="0" xfId="0" applyNumberFormat="1" applyFont="1" applyBorder="1" applyAlignment="1">
      <alignment vertical="top" wrapText="1"/>
    </xf>
    <xf numFmtId="0" fontId="24" fillId="0" borderId="75" xfId="0" applyFont="1" applyBorder="1" applyAlignment="1">
      <alignment horizontal="center" vertical="center" wrapText="1"/>
    </xf>
    <xf numFmtId="0" fontId="31" fillId="0" borderId="0" xfId="0" applyFont="1" applyAlignment="1">
      <alignment horizontal="center" vertical="center" wrapText="1"/>
    </xf>
    <xf numFmtId="1" fontId="14" fillId="0" borderId="117" xfId="0" applyNumberFormat="1" applyFont="1" applyFill="1" applyBorder="1" applyAlignment="1" applyProtection="1">
      <alignment horizontal="left" vertical="top" wrapText="1"/>
      <protection hidden="1"/>
    </xf>
    <xf numFmtId="2" fontId="14" fillId="12" borderId="115" xfId="0" applyNumberFormat="1" applyFont="1" applyFill="1" applyBorder="1" applyAlignment="1">
      <alignment horizontal="center" vertical="top"/>
    </xf>
    <xf numFmtId="0" fontId="14" fillId="0" borderId="63" xfId="0" applyFont="1" applyFill="1" applyBorder="1" applyAlignment="1" applyProtection="1">
      <alignment horizontal="left" vertical="top" wrapText="1"/>
      <protection hidden="1"/>
    </xf>
    <xf numFmtId="0" fontId="14" fillId="0" borderId="60" xfId="0" applyFont="1" applyFill="1" applyBorder="1" applyAlignment="1" applyProtection="1">
      <alignment horizontal="left" vertical="top" wrapText="1"/>
      <protection hidden="1"/>
    </xf>
    <xf numFmtId="0" fontId="24" fillId="9" borderId="31" xfId="0" applyFont="1" applyFill="1" applyBorder="1" applyAlignment="1">
      <alignment horizontal="center" vertical="center" wrapText="1"/>
    </xf>
    <xf numFmtId="0" fontId="14" fillId="0" borderId="114" xfId="0" applyFont="1" applyBorder="1" applyAlignment="1">
      <alignment horizontal="center" vertical="top" wrapText="1"/>
    </xf>
    <xf numFmtId="0" fontId="14" fillId="2" borderId="114" xfId="0" applyFont="1" applyFill="1" applyBorder="1" applyAlignment="1">
      <alignment horizontal="center" vertical="top" wrapText="1"/>
    </xf>
    <xf numFmtId="2" fontId="14" fillId="9" borderId="0" xfId="0" applyNumberFormat="1" applyFont="1" applyFill="1" applyBorder="1" applyAlignment="1">
      <alignment horizontal="center" vertical="top" wrapText="1"/>
    </xf>
    <xf numFmtId="165" fontId="22" fillId="0" borderId="0" xfId="0" applyNumberFormat="1" applyFont="1" applyBorder="1">
      <alignment vertical="top"/>
    </xf>
    <xf numFmtId="0" fontId="19" fillId="0" borderId="0" xfId="0" applyFont="1" applyFill="1" applyBorder="1">
      <alignment vertical="top"/>
    </xf>
    <xf numFmtId="0" fontId="64" fillId="0" borderId="0" xfId="0" applyFont="1" applyFill="1" applyBorder="1" applyAlignment="1" applyProtection="1">
      <alignment vertical="top" wrapText="1"/>
      <protection hidden="1"/>
    </xf>
    <xf numFmtId="0" fontId="66" fillId="0" borderId="0" xfId="0" applyFont="1" applyFill="1" applyBorder="1" applyAlignment="1" applyProtection="1">
      <alignment vertical="top" wrapText="1"/>
      <protection hidden="1"/>
    </xf>
    <xf numFmtId="0" fontId="27" fillId="0" borderId="0" xfId="0" applyFont="1" applyFill="1" applyBorder="1" applyAlignment="1">
      <alignment horizontal="center" vertical="top" wrapText="1"/>
    </xf>
    <xf numFmtId="2" fontId="34" fillId="0" borderId="0" xfId="0" applyNumberFormat="1" applyFont="1" applyFill="1" applyBorder="1" applyAlignment="1">
      <alignment vertical="top" wrapText="1"/>
    </xf>
    <xf numFmtId="2" fontId="63" fillId="0" borderId="0" xfId="0" applyNumberFormat="1" applyFont="1" applyFill="1" applyBorder="1" applyAlignment="1" applyProtection="1">
      <alignment vertical="top" wrapText="1"/>
      <protection hidden="1"/>
    </xf>
    <xf numFmtId="2" fontId="13" fillId="11" borderId="118" xfId="0" applyNumberFormat="1" applyFont="1" applyFill="1" applyBorder="1" applyAlignment="1" applyProtection="1">
      <alignment horizontal="center" vertical="top"/>
      <protection hidden="1"/>
    </xf>
    <xf numFmtId="2" fontId="13" fillId="11" borderId="112" xfId="0" applyNumberFormat="1" applyFont="1" applyFill="1" applyBorder="1" applyAlignment="1" applyProtection="1">
      <alignment horizontal="center" vertical="top"/>
      <protection hidden="1"/>
    </xf>
    <xf numFmtId="0" fontId="77" fillId="0" borderId="30" xfId="0" applyFont="1" applyFill="1" applyBorder="1" applyAlignment="1"/>
    <xf numFmtId="2" fontId="19" fillId="0" borderId="116" xfId="0" applyNumberFormat="1" applyFont="1" applyFill="1" applyBorder="1" applyAlignment="1">
      <alignment horizontal="center"/>
    </xf>
    <xf numFmtId="2" fontId="13" fillId="11" borderId="26" xfId="0" applyNumberFormat="1" applyFont="1" applyFill="1" applyBorder="1" applyAlignment="1" applyProtection="1">
      <alignment horizontal="center" vertical="top"/>
      <protection hidden="1"/>
    </xf>
    <xf numFmtId="0" fontId="79" fillId="0" borderId="31" xfId="0" applyFont="1" applyBorder="1">
      <alignment vertical="top"/>
    </xf>
    <xf numFmtId="0" fontId="51" fillId="0" borderId="51" xfId="0" applyFont="1" applyFill="1" applyBorder="1" applyAlignment="1">
      <alignment horizontal="center"/>
    </xf>
    <xf numFmtId="0" fontId="51" fillId="0" borderId="64" xfId="0" applyFont="1" applyFill="1" applyBorder="1" applyAlignment="1">
      <alignment horizontal="center"/>
    </xf>
    <xf numFmtId="0" fontId="80" fillId="0" borderId="116" xfId="0" applyFont="1" applyBorder="1">
      <alignment vertical="top"/>
    </xf>
    <xf numFmtId="0" fontId="47" fillId="8" borderId="100" xfId="0" applyFont="1" applyFill="1" applyBorder="1" applyAlignment="1">
      <alignment horizontal="center" vertical="top"/>
    </xf>
    <xf numFmtId="0" fontId="47" fillId="8" borderId="105" xfId="0" applyFont="1" applyFill="1" applyBorder="1" applyAlignment="1">
      <alignment horizontal="center" vertical="top"/>
    </xf>
    <xf numFmtId="0" fontId="47" fillId="8" borderId="121" xfId="0" applyFont="1" applyFill="1" applyBorder="1" applyAlignment="1">
      <alignment horizontal="center" vertical="top"/>
    </xf>
    <xf numFmtId="0" fontId="79" fillId="0" borderId="31" xfId="0" applyFont="1" applyBorder="1" applyAlignment="1"/>
    <xf numFmtId="0" fontId="47" fillId="0" borderId="100" xfId="0" applyFont="1" applyFill="1" applyBorder="1" applyAlignment="1">
      <alignment horizontal="center" vertical="top"/>
    </xf>
    <xf numFmtId="0" fontId="47" fillId="0" borderId="121" xfId="0" applyFont="1" applyFill="1" applyBorder="1" applyAlignment="1">
      <alignment horizontal="center" vertical="top"/>
    </xf>
    <xf numFmtId="0" fontId="79" fillId="0" borderId="57" xfId="0" applyFont="1" applyBorder="1" applyAlignment="1"/>
    <xf numFmtId="0" fontId="79" fillId="0" borderId="19" xfId="0" applyFont="1" applyBorder="1" applyAlignment="1"/>
    <xf numFmtId="0" fontId="80" fillId="0" borderId="57" xfId="0" applyFont="1" applyBorder="1">
      <alignment vertical="top"/>
    </xf>
    <xf numFmtId="0" fontId="80" fillId="0" borderId="120" xfId="0" applyFont="1" applyBorder="1" applyAlignment="1"/>
    <xf numFmtId="0" fontId="79" fillId="0" borderId="120" xfId="0" applyFont="1" applyFill="1" applyBorder="1">
      <alignment vertical="top"/>
    </xf>
    <xf numFmtId="0" fontId="79" fillId="0" borderId="120" xfId="0" applyFont="1" applyBorder="1">
      <alignment vertical="top"/>
    </xf>
    <xf numFmtId="0" fontId="79" fillId="0" borderId="33" xfId="0" applyFont="1" applyBorder="1">
      <alignment vertical="top"/>
    </xf>
    <xf numFmtId="0" fontId="47" fillId="0" borderId="43" xfId="0" applyFont="1" applyFill="1" applyBorder="1" applyAlignment="1">
      <alignment horizontal="center" vertical="top"/>
    </xf>
    <xf numFmtId="0" fontId="47" fillId="0" borderId="34" xfId="0" applyFont="1" applyFill="1" applyBorder="1" applyAlignment="1">
      <alignment horizontal="center" vertical="top"/>
    </xf>
    <xf numFmtId="1" fontId="55" fillId="0" borderId="100" xfId="2" applyNumberFormat="1" applyFont="1" applyBorder="1" applyAlignment="1" applyProtection="1">
      <alignment horizontal="center" vertical="center"/>
      <protection locked="0"/>
    </xf>
    <xf numFmtId="1" fontId="18" fillId="7" borderId="63" xfId="1" applyNumberFormat="1" applyFont="1" applyFill="1" applyBorder="1" applyAlignment="1" applyProtection="1">
      <alignment vertical="center"/>
      <protection locked="0"/>
    </xf>
    <xf numFmtId="0" fontId="54" fillId="15" borderId="96" xfId="2" applyFont="1" applyFill="1" applyBorder="1" applyAlignment="1">
      <alignment horizontal="center" vertical="center" wrapText="1"/>
    </xf>
    <xf numFmtId="49" fontId="54" fillId="15" borderId="106" xfId="2" applyNumberFormat="1" applyFont="1" applyFill="1" applyBorder="1" applyAlignment="1">
      <alignment horizontal="center" vertical="center" wrapText="1"/>
    </xf>
    <xf numFmtId="49" fontId="54" fillId="0" borderId="106" xfId="2" applyNumberFormat="1" applyFont="1" applyBorder="1" applyAlignment="1" applyProtection="1">
      <alignment horizontal="center" vertical="center" wrapText="1"/>
      <protection locked="0"/>
    </xf>
    <xf numFmtId="0" fontId="54" fillId="15" borderId="106" xfId="2" applyFont="1" applyFill="1" applyBorder="1" applyAlignment="1" applyProtection="1">
      <alignment horizontal="center" vertical="center" wrapText="1"/>
      <protection locked="0"/>
    </xf>
    <xf numFmtId="1" fontId="54" fillId="0" borderId="106" xfId="2" applyNumberFormat="1" applyFont="1" applyBorder="1" applyAlignment="1" applyProtection="1">
      <alignment horizontal="center" vertical="center"/>
      <protection locked="0"/>
    </xf>
    <xf numFmtId="1" fontId="14" fillId="7" borderId="47" xfId="1" applyNumberFormat="1" applyFont="1" applyFill="1" applyBorder="1" applyAlignment="1">
      <alignment horizontal="center" vertical="center"/>
    </xf>
    <xf numFmtId="2" fontId="18" fillId="21" borderId="47" xfId="1" applyNumberFormat="1" applyFont="1" applyFill="1" applyBorder="1" applyAlignment="1">
      <alignment horizontal="center" vertical="center"/>
    </xf>
    <xf numFmtId="1" fontId="55" fillId="15" borderId="106" xfId="2" applyNumberFormat="1" applyFont="1" applyFill="1" applyBorder="1" applyAlignment="1" applyProtection="1">
      <alignment horizontal="center" vertical="center"/>
      <protection locked="0"/>
    </xf>
    <xf numFmtId="1" fontId="18" fillId="7" borderId="56" xfId="1" applyNumberFormat="1" applyFont="1" applyFill="1" applyBorder="1" applyAlignment="1" applyProtection="1">
      <alignment vertical="center"/>
      <protection locked="0"/>
    </xf>
    <xf numFmtId="1" fontId="18" fillId="7" borderId="47" xfId="1" applyNumberFormat="1" applyFont="1" applyFill="1" applyBorder="1" applyAlignment="1">
      <alignment horizontal="center" vertical="center"/>
    </xf>
    <xf numFmtId="1" fontId="18" fillId="7" borderId="0" xfId="1" applyNumberFormat="1" applyFont="1" applyFill="1" applyBorder="1" applyAlignment="1" applyProtection="1">
      <alignment vertical="center"/>
      <protection locked="0"/>
    </xf>
    <xf numFmtId="1" fontId="18" fillId="7" borderId="13" xfId="1" applyNumberFormat="1" applyFont="1" applyFill="1" applyBorder="1" applyAlignment="1" applyProtection="1">
      <alignment vertical="center"/>
      <protection locked="0"/>
    </xf>
    <xf numFmtId="49" fontId="18" fillId="7" borderId="0" xfId="1" applyNumberFormat="1" applyFont="1" applyFill="1" applyBorder="1" applyAlignment="1" applyProtection="1">
      <alignment vertical="center"/>
      <protection locked="0"/>
    </xf>
    <xf numFmtId="0" fontId="18" fillId="7" borderId="6" xfId="1" applyFont="1" applyFill="1" applyBorder="1" applyAlignment="1" applyProtection="1">
      <alignment vertical="center"/>
      <protection locked="0"/>
    </xf>
    <xf numFmtId="49" fontId="18" fillId="7" borderId="51" xfId="1" applyNumberFormat="1" applyFont="1" applyFill="1" applyBorder="1" applyAlignment="1" applyProtection="1">
      <alignment vertical="center"/>
      <protection locked="0"/>
    </xf>
    <xf numFmtId="49" fontId="18" fillId="7" borderId="6" xfId="1" applyNumberFormat="1" applyFont="1" applyFill="1" applyBorder="1" applyAlignment="1" applyProtection="1">
      <alignment vertical="center"/>
      <protection locked="0"/>
    </xf>
    <xf numFmtId="49" fontId="54" fillId="15" borderId="120" xfId="2" applyNumberFormat="1" applyFont="1" applyFill="1" applyBorder="1" applyAlignment="1">
      <alignment horizontal="center" vertical="center" wrapText="1"/>
    </xf>
    <xf numFmtId="49" fontId="54" fillId="0" borderId="100" xfId="2" applyNumberFormat="1" applyFont="1" applyBorder="1" applyAlignment="1" applyProtection="1">
      <alignment horizontal="center" vertical="center" wrapText="1"/>
      <protection locked="0"/>
    </xf>
    <xf numFmtId="0" fontId="54" fillId="15" borderId="100" xfId="2" applyFont="1" applyFill="1" applyBorder="1" applyAlignment="1" applyProtection="1">
      <alignment horizontal="center" vertical="center" wrapText="1"/>
      <protection locked="0"/>
    </xf>
    <xf numFmtId="1" fontId="55" fillId="0" borderId="44" xfId="2" applyNumberFormat="1" applyFont="1" applyBorder="1" applyAlignment="1" applyProtection="1">
      <alignment horizontal="center" vertical="center"/>
      <protection locked="0"/>
    </xf>
    <xf numFmtId="1" fontId="18" fillId="7" borderId="6" xfId="1" applyNumberFormat="1" applyFont="1" applyFill="1" applyBorder="1" applyAlignment="1" applyProtection="1">
      <alignment vertical="center"/>
      <protection locked="0"/>
    </xf>
    <xf numFmtId="1" fontId="55" fillId="0" borderId="43" xfId="2" applyNumberFormat="1" applyFont="1" applyBorder="1" applyAlignment="1" applyProtection="1">
      <alignment horizontal="center" vertical="center"/>
      <protection locked="0"/>
    </xf>
    <xf numFmtId="2" fontId="18" fillId="0" borderId="0" xfId="0" applyNumberFormat="1" applyFont="1">
      <alignment vertical="top"/>
    </xf>
    <xf numFmtId="0" fontId="13" fillId="0" borderId="118" xfId="0" applyFont="1" applyFill="1" applyBorder="1">
      <alignment vertical="top"/>
    </xf>
    <xf numFmtId="0" fontId="47" fillId="0" borderId="116" xfId="1" applyFont="1" applyFill="1" applyBorder="1" applyAlignment="1">
      <alignment horizontal="left" vertical="top"/>
    </xf>
    <xf numFmtId="0" fontId="47" fillId="0" borderId="116" xfId="1" applyFont="1" applyFill="1" applyBorder="1" applyAlignment="1">
      <alignment horizontal="left" vertical="top" wrapText="1"/>
    </xf>
    <xf numFmtId="0" fontId="47" fillId="0" borderId="116" xfId="1" applyFont="1" applyBorder="1" applyAlignment="1">
      <alignment horizontal="left" vertical="top"/>
    </xf>
    <xf numFmtId="49" fontId="54" fillId="15" borderId="105" xfId="2" applyNumberFormat="1" applyFont="1" applyFill="1" applyBorder="1" applyAlignment="1" applyProtection="1">
      <alignment horizontal="center" vertical="center" wrapText="1"/>
      <protection locked="0"/>
    </xf>
    <xf numFmtId="1" fontId="54" fillId="0" borderId="35" xfId="2" applyNumberFormat="1" applyFont="1" applyBorder="1" applyAlignment="1" applyProtection="1">
      <alignment horizontal="center" vertical="center"/>
      <protection locked="0"/>
    </xf>
    <xf numFmtId="0" fontId="54" fillId="15" borderId="113" xfId="2" applyFont="1" applyFill="1" applyBorder="1" applyAlignment="1">
      <alignment horizontal="center" vertical="center" wrapText="1"/>
    </xf>
    <xf numFmtId="1" fontId="54" fillId="0" borderId="105" xfId="2" applyNumberFormat="1" applyFont="1" applyBorder="1" applyAlignment="1" applyProtection="1">
      <alignment horizontal="center" vertical="center"/>
      <protection locked="0"/>
    </xf>
    <xf numFmtId="1" fontId="54" fillId="0" borderId="44" xfId="2" applyNumberFormat="1" applyFont="1" applyBorder="1" applyAlignment="1" applyProtection="1">
      <alignment horizontal="center" vertical="center"/>
      <protection locked="0"/>
    </xf>
    <xf numFmtId="0" fontId="54" fillId="15" borderId="105" xfId="2" applyFont="1" applyFill="1" applyBorder="1" applyAlignment="1">
      <alignment horizontal="center" vertical="center" wrapText="1"/>
    </xf>
    <xf numFmtId="0" fontId="74" fillId="22" borderId="4" xfId="0" applyFont="1" applyFill="1" applyBorder="1" applyAlignment="1">
      <alignment horizontal="left" vertical="center" wrapText="1"/>
    </xf>
    <xf numFmtId="0" fontId="74" fillId="22" borderId="4" xfId="0" applyFont="1" applyFill="1" applyBorder="1" applyAlignment="1">
      <alignment vertical="top" wrapText="1"/>
    </xf>
    <xf numFmtId="0" fontId="48" fillId="0" borderId="123" xfId="0" applyFont="1" applyBorder="1" applyAlignment="1" applyProtection="1">
      <alignment horizontal="center" vertical="top" wrapText="1"/>
    </xf>
    <xf numFmtId="0" fontId="48" fillId="0" borderId="124" xfId="0" applyFont="1" applyBorder="1" applyAlignment="1" applyProtection="1">
      <alignment horizontal="center" vertical="top" wrapText="1"/>
    </xf>
    <xf numFmtId="0" fontId="47" fillId="0" borderId="26" xfId="0" applyFont="1" applyFill="1" applyBorder="1" applyAlignment="1">
      <alignment horizontal="left" vertical="top" wrapText="1"/>
    </xf>
    <xf numFmtId="0" fontId="47" fillId="0" borderId="26" xfId="0" applyFont="1" applyFill="1" applyBorder="1" applyAlignment="1">
      <alignment vertical="top" wrapText="1"/>
    </xf>
    <xf numFmtId="0" fontId="47" fillId="0" borderId="40" xfId="0" applyFont="1" applyFill="1" applyBorder="1" applyAlignment="1">
      <alignment vertical="top" wrapText="1"/>
    </xf>
    <xf numFmtId="0" fontId="47" fillId="0" borderId="19" xfId="0" applyFont="1" applyFill="1" applyBorder="1" applyAlignment="1">
      <alignment vertical="top" wrapText="1"/>
    </xf>
    <xf numFmtId="1" fontId="49" fillId="22" borderId="4" xfId="0" applyNumberFormat="1" applyFont="1" applyFill="1" applyBorder="1" applyAlignment="1">
      <alignment horizontal="center"/>
    </xf>
    <xf numFmtId="1" fontId="49" fillId="22" borderId="41" xfId="0" applyNumberFormat="1" applyFont="1" applyFill="1" applyBorder="1" applyAlignment="1">
      <alignment horizontal="center"/>
    </xf>
    <xf numFmtId="1" fontId="49" fillId="22" borderId="4" xfId="0" applyNumberFormat="1" applyFont="1" applyFill="1" applyBorder="1" applyAlignment="1">
      <alignment horizontal="center" wrapText="1"/>
    </xf>
    <xf numFmtId="1" fontId="47" fillId="0" borderId="0" xfId="0" applyNumberFormat="1" applyFont="1" applyAlignment="1">
      <alignment horizontal="center"/>
    </xf>
    <xf numFmtId="2" fontId="47" fillId="19" borderId="99" xfId="0" applyNumberFormat="1" applyFont="1" applyFill="1" applyBorder="1" applyAlignment="1">
      <alignment horizontal="center" vertical="top"/>
    </xf>
    <xf numFmtId="0" fontId="47" fillId="0" borderId="0" xfId="0" applyFont="1" applyFill="1" applyBorder="1" applyAlignment="1">
      <alignment horizontal="center" vertical="top"/>
    </xf>
    <xf numFmtId="2" fontId="47" fillId="19" borderId="13" xfId="0" applyNumberFormat="1" applyFont="1" applyFill="1" applyBorder="1" applyAlignment="1">
      <alignment horizontal="center" vertical="top"/>
    </xf>
    <xf numFmtId="0" fontId="47" fillId="0" borderId="0" xfId="0" applyFont="1" applyBorder="1" applyAlignment="1">
      <alignment vertical="top"/>
    </xf>
    <xf numFmtId="0" fontId="18" fillId="0" borderId="0" xfId="0" applyFont="1" applyAlignment="1">
      <alignment vertical="top"/>
    </xf>
    <xf numFmtId="2" fontId="47" fillId="0" borderId="0" xfId="0" applyNumberFormat="1" applyFont="1" applyFill="1" applyBorder="1" applyAlignment="1">
      <alignment horizontal="center" vertical="top"/>
    </xf>
    <xf numFmtId="0" fontId="47" fillId="0" borderId="126" xfId="0" applyFont="1" applyFill="1" applyBorder="1" applyAlignment="1">
      <alignment horizontal="left" vertical="top" wrapText="1"/>
    </xf>
    <xf numFmtId="0" fontId="47" fillId="0" borderId="126" xfId="0" applyFont="1" applyFill="1" applyBorder="1" applyAlignment="1">
      <alignment vertical="top" wrapText="1"/>
    </xf>
    <xf numFmtId="49" fontId="48" fillId="0" borderId="123" xfId="1" applyNumberFormat="1" applyFont="1" applyBorder="1" applyAlignment="1">
      <alignment vertical="center" wrapText="1"/>
    </xf>
    <xf numFmtId="49" fontId="48" fillId="6" borderId="123" xfId="1" applyNumberFormat="1" applyFont="1" applyFill="1" applyBorder="1" applyAlignment="1">
      <alignment horizontal="center" vertical="center" wrapText="1"/>
    </xf>
    <xf numFmtId="49" fontId="48" fillId="6" borderId="124" xfId="1" applyNumberFormat="1" applyFont="1" applyFill="1" applyBorder="1" applyAlignment="1">
      <alignment horizontal="center" vertical="center" wrapText="1"/>
    </xf>
    <xf numFmtId="49" fontId="48" fillId="6" borderId="123" xfId="1" applyNumberFormat="1" applyFont="1" applyFill="1" applyBorder="1" applyAlignment="1">
      <alignment vertical="center" wrapText="1"/>
    </xf>
    <xf numFmtId="49" fontId="48" fillId="0" borderId="123" xfId="1" applyNumberFormat="1" applyFont="1" applyBorder="1" applyAlignment="1">
      <alignment horizontal="center" vertical="center" wrapText="1"/>
    </xf>
    <xf numFmtId="49" fontId="48" fillId="0" borderId="124" xfId="1" applyNumberFormat="1" applyFont="1" applyBorder="1" applyAlignment="1">
      <alignment horizontal="center" vertical="center" wrapText="1"/>
    </xf>
    <xf numFmtId="49" fontId="87" fillId="6" borderId="123" xfId="1" applyNumberFormat="1" applyFont="1" applyFill="1" applyBorder="1" applyAlignment="1">
      <alignment vertical="center" wrapText="1"/>
    </xf>
    <xf numFmtId="49" fontId="48" fillId="8" borderId="124" xfId="1" applyNumberFormat="1" applyFont="1" applyFill="1" applyBorder="1" applyAlignment="1">
      <alignment horizontal="right" vertical="center" wrapText="1"/>
    </xf>
    <xf numFmtId="49" fontId="48" fillId="0" borderId="123" xfId="1" applyNumberFormat="1" applyFont="1" applyBorder="1" applyAlignment="1">
      <alignment vertical="center"/>
    </xf>
    <xf numFmtId="49" fontId="48" fillId="0" borderId="123" xfId="1" applyNumberFormat="1" applyFont="1" applyBorder="1" applyAlignment="1" applyProtection="1">
      <alignment horizontal="center" vertical="top" wrapText="1"/>
    </xf>
    <xf numFmtId="49" fontId="48" fillId="0" borderId="124" xfId="1" applyNumberFormat="1" applyFont="1" applyBorder="1" applyAlignment="1" applyProtection="1">
      <alignment horizontal="center" vertical="top" wrapText="1"/>
    </xf>
    <xf numFmtId="49" fontId="57" fillId="0" borderId="123" xfId="1" applyNumberFormat="1" applyFont="1" applyBorder="1" applyAlignment="1">
      <alignment vertical="center"/>
    </xf>
    <xf numFmtId="49" fontId="48" fillId="0" borderId="124" xfId="1" applyNumberFormat="1" applyFont="1" applyBorder="1" applyAlignment="1">
      <alignment horizontal="right" vertical="center" wrapText="1"/>
    </xf>
    <xf numFmtId="0" fontId="58" fillId="16" borderId="50" xfId="0" applyNumberFormat="1" applyFont="1" applyFill="1" applyBorder="1" applyAlignment="1">
      <alignment vertical="center"/>
    </xf>
    <xf numFmtId="2" fontId="57" fillId="0" borderId="128" xfId="0" applyNumberFormat="1" applyFont="1" applyFill="1" applyBorder="1">
      <alignment vertical="top"/>
    </xf>
    <xf numFmtId="2" fontId="57" fillId="0" borderId="128" xfId="0" applyNumberFormat="1" applyFont="1" applyBorder="1">
      <alignment vertical="top"/>
    </xf>
    <xf numFmtId="0" fontId="90" fillId="4" borderId="128" xfId="1" applyNumberFormat="1" applyFont="1" applyFill="1" applyBorder="1" applyAlignment="1">
      <alignment vertical="center"/>
    </xf>
    <xf numFmtId="2" fontId="57" fillId="0" borderId="128" xfId="1" applyNumberFormat="1" applyFont="1" applyFill="1" applyBorder="1">
      <alignment vertical="top"/>
    </xf>
    <xf numFmtId="2" fontId="57" fillId="0" borderId="128" xfId="1" applyNumberFormat="1" applyFont="1" applyBorder="1">
      <alignment vertical="top"/>
    </xf>
    <xf numFmtId="0" fontId="90" fillId="9" borderId="128" xfId="1" applyFont="1" applyFill="1" applyBorder="1" applyAlignment="1">
      <alignment vertical="center" wrapText="1"/>
    </xf>
    <xf numFmtId="0" fontId="57" fillId="0" borderId="128" xfId="1" applyFont="1" applyBorder="1" applyAlignment="1">
      <alignment vertical="top" wrapText="1"/>
    </xf>
    <xf numFmtId="0" fontId="90" fillId="20" borderId="128" xfId="0" applyFont="1" applyFill="1" applyBorder="1" applyAlignment="1">
      <alignment vertical="center" wrapText="1"/>
    </xf>
    <xf numFmtId="0" fontId="57" fillId="0" borderId="128" xfId="0" applyFont="1" applyBorder="1" applyAlignment="1">
      <alignment vertical="top" wrapText="1"/>
    </xf>
    <xf numFmtId="0" fontId="57" fillId="0" borderId="128" xfId="0" applyFont="1" applyBorder="1" applyAlignment="1">
      <alignment horizontal="left" vertical="top" wrapText="1"/>
    </xf>
    <xf numFmtId="1" fontId="49" fillId="4" borderId="37" xfId="0" applyNumberFormat="1" applyFont="1" applyFill="1" applyBorder="1" applyAlignment="1">
      <alignment horizontal="center" wrapText="1"/>
    </xf>
    <xf numFmtId="2" fontId="49" fillId="17" borderId="47" xfId="0" applyNumberFormat="1" applyFont="1" applyFill="1" applyBorder="1" applyAlignment="1">
      <alignment horizontal="center" wrapText="1"/>
    </xf>
    <xf numFmtId="0" fontId="91" fillId="0" borderId="41" xfId="1" applyFont="1" applyFill="1" applyBorder="1" applyAlignment="1">
      <alignment horizontal="center" vertical="center" wrapText="1"/>
    </xf>
    <xf numFmtId="0" fontId="92" fillId="7" borderId="116" xfId="1" applyFont="1" applyFill="1" applyBorder="1" applyAlignment="1" applyProtection="1">
      <alignment horizontal="center" vertical="center" wrapText="1"/>
      <protection locked="0"/>
    </xf>
    <xf numFmtId="0" fontId="14" fillId="8" borderId="26" xfId="0" applyFont="1" applyFill="1" applyBorder="1" applyAlignment="1">
      <alignment horizontal="center" vertical="center"/>
    </xf>
    <xf numFmtId="0" fontId="14" fillId="8" borderId="26" xfId="0" applyFont="1" applyFill="1" applyBorder="1" applyAlignment="1">
      <alignment horizontal="left" vertical="top"/>
    </xf>
    <xf numFmtId="0" fontId="14" fillId="8" borderId="26" xfId="0" applyFont="1" applyFill="1" applyBorder="1">
      <alignment vertical="top"/>
    </xf>
    <xf numFmtId="0" fontId="14" fillId="0" borderId="100" xfId="0" applyFont="1" applyBorder="1" applyAlignment="1">
      <alignment vertical="top" wrapText="1"/>
    </xf>
    <xf numFmtId="0" fontId="14" fillId="0" borderId="100" xfId="0" applyFont="1" applyBorder="1" applyAlignment="1">
      <alignment horizontal="center" vertical="top"/>
    </xf>
    <xf numFmtId="0" fontId="14" fillId="0" borderId="43" xfId="0" applyFont="1" applyBorder="1" applyAlignment="1">
      <alignment horizontal="center" vertical="top"/>
    </xf>
    <xf numFmtId="0" fontId="14" fillId="14" borderId="127" xfId="0" applyFont="1" applyFill="1" applyBorder="1" applyAlignment="1" applyProtection="1">
      <alignment horizontal="center" vertical="top" wrapText="1"/>
      <protection locked="0"/>
    </xf>
    <xf numFmtId="0" fontId="14" fillId="0" borderId="108" xfId="0" applyFont="1" applyBorder="1" applyAlignment="1" applyProtection="1">
      <alignment horizontal="center" vertical="top"/>
      <protection locked="0"/>
    </xf>
    <xf numFmtId="0" fontId="14" fillId="0" borderId="128" xfId="0" applyFont="1" applyFill="1" applyBorder="1" applyAlignment="1" applyProtection="1">
      <alignment vertical="top" wrapText="1"/>
    </xf>
    <xf numFmtId="0" fontId="14" fillId="0" borderId="128" xfId="0" applyFont="1" applyFill="1" applyBorder="1" applyAlignment="1" applyProtection="1">
      <alignment horizontal="left" vertical="center" wrapText="1"/>
    </xf>
    <xf numFmtId="0" fontId="14" fillId="0" borderId="28" xfId="0" applyFont="1" applyBorder="1" applyAlignment="1" applyProtection="1">
      <alignment horizontal="center" vertical="top"/>
      <protection locked="0"/>
    </xf>
    <xf numFmtId="0" fontId="14" fillId="0" borderId="126" xfId="0" applyFont="1" applyBorder="1" applyAlignment="1">
      <alignment horizontal="left" vertical="top" wrapText="1"/>
    </xf>
    <xf numFmtId="0" fontId="94" fillId="8" borderId="26" xfId="0" applyFont="1" applyFill="1" applyBorder="1" applyAlignment="1">
      <alignment horizontal="left" vertical="top"/>
    </xf>
    <xf numFmtId="0" fontId="94" fillId="0" borderId="0" xfId="0" applyFont="1" applyFill="1" applyAlignment="1">
      <alignment horizontal="left" vertical="top"/>
    </xf>
    <xf numFmtId="0" fontId="14" fillId="0" borderId="83" xfId="0" applyFont="1" applyFill="1" applyBorder="1" applyAlignment="1" applyProtection="1">
      <alignment vertical="top" wrapText="1"/>
    </xf>
    <xf numFmtId="0" fontId="14" fillId="0" borderId="108" xfId="0" applyFont="1" applyFill="1" applyBorder="1" applyAlignment="1" applyProtection="1">
      <alignment vertical="top" wrapText="1"/>
    </xf>
    <xf numFmtId="0" fontId="15" fillId="9" borderId="126" xfId="0" applyFont="1" applyFill="1" applyBorder="1" applyAlignment="1">
      <alignment horizontal="center" vertical="center" wrapText="1"/>
    </xf>
    <xf numFmtId="1" fontId="15" fillId="9" borderId="126" xfId="0" applyNumberFormat="1" applyFont="1" applyFill="1" applyBorder="1" applyAlignment="1" applyProtection="1">
      <alignment horizontal="center" vertical="center" wrapText="1"/>
      <protection hidden="1"/>
    </xf>
    <xf numFmtId="0" fontId="51" fillId="9" borderId="126" xfId="0" applyFont="1" applyFill="1" applyBorder="1" applyAlignment="1">
      <alignment horizontal="center" vertical="center" wrapText="1"/>
    </xf>
    <xf numFmtId="1" fontId="14" fillId="0" borderId="111" xfId="0" applyNumberFormat="1" applyFont="1" applyFill="1" applyBorder="1" applyAlignment="1">
      <alignment horizontal="left" vertical="top" wrapText="1"/>
    </xf>
    <xf numFmtId="0" fontId="15" fillId="0" borderId="126" xfId="0" applyFont="1" applyBorder="1" applyAlignment="1">
      <alignment horizontal="center" vertical="center" wrapText="1"/>
    </xf>
    <xf numFmtId="0" fontId="14" fillId="0" borderId="0" xfId="0" applyNumberFormat="1" applyFont="1" applyAlignment="1">
      <alignment horizontal="center" vertical="top" wrapText="1"/>
    </xf>
    <xf numFmtId="0" fontId="14" fillId="0" borderId="0" xfId="0" applyNumberFormat="1" applyFont="1" applyAlignment="1">
      <alignment vertical="top" wrapText="1"/>
    </xf>
    <xf numFmtId="0" fontId="14" fillId="0" borderId="125" xfId="0" applyFont="1" applyBorder="1" applyAlignment="1">
      <alignment vertical="top" wrapText="1"/>
    </xf>
    <xf numFmtId="2" fontId="14" fillId="4" borderId="126" xfId="0" applyNumberFormat="1" applyFont="1" applyFill="1" applyBorder="1" applyAlignment="1">
      <alignment horizontal="center" vertical="top" wrapText="1"/>
    </xf>
    <xf numFmtId="0" fontId="71" fillId="0" borderId="100" xfId="0" applyFont="1" applyBorder="1" applyAlignment="1"/>
    <xf numFmtId="0" fontId="71" fillId="0" borderId="100" xfId="0" applyFont="1" applyBorder="1" applyAlignment="1">
      <alignment horizontal="center" wrapText="1"/>
    </xf>
    <xf numFmtId="0" fontId="0" fillId="0" borderId="100" xfId="0" applyBorder="1" applyAlignment="1"/>
    <xf numFmtId="0" fontId="0" fillId="0" borderId="100" xfId="0" applyBorder="1" applyAlignment="1">
      <alignment horizontal="center"/>
    </xf>
    <xf numFmtId="0" fontId="0" fillId="0" borderId="100" xfId="0" applyBorder="1">
      <alignment vertical="top"/>
    </xf>
    <xf numFmtId="1" fontId="14" fillId="8" borderId="78" xfId="0" applyNumberFormat="1" applyFont="1" applyFill="1" applyBorder="1" applyAlignment="1">
      <alignment horizontal="center" vertical="top" wrapText="1"/>
    </xf>
    <xf numFmtId="1" fontId="14" fillId="8" borderId="113" xfId="0" applyNumberFormat="1" applyFont="1" applyFill="1" applyBorder="1" applyAlignment="1">
      <alignment horizontal="center" vertical="top" wrapText="1"/>
    </xf>
    <xf numFmtId="0" fontId="14" fillId="0" borderId="119" xfId="0" applyFont="1" applyBorder="1" applyAlignment="1">
      <alignment vertical="top" wrapText="1"/>
    </xf>
    <xf numFmtId="1" fontId="14" fillId="2" borderId="12" xfId="0" applyNumberFormat="1" applyFont="1" applyFill="1" applyBorder="1" applyAlignment="1">
      <alignment horizontal="center" vertical="top" wrapText="1"/>
    </xf>
    <xf numFmtId="2" fontId="14" fillId="3" borderId="126" xfId="0" applyNumberFormat="1" applyFont="1" applyFill="1" applyBorder="1" applyAlignment="1">
      <alignment horizontal="center" vertical="top" wrapText="1"/>
    </xf>
    <xf numFmtId="1" fontId="14" fillId="2" borderId="123" xfId="0" applyNumberFormat="1" applyFont="1" applyFill="1" applyBorder="1" applyAlignment="1" applyProtection="1">
      <alignment horizontal="center" vertical="top" wrapText="1"/>
      <protection hidden="1"/>
    </xf>
    <xf numFmtId="0" fontId="14" fillId="2" borderId="123" xfId="0" applyFont="1" applyFill="1" applyBorder="1" applyAlignment="1" applyProtection="1">
      <alignment horizontal="center" vertical="top" wrapText="1"/>
      <protection hidden="1"/>
    </xf>
    <xf numFmtId="0" fontId="14" fillId="0" borderId="126" xfId="0" applyFont="1" applyFill="1" applyBorder="1" applyAlignment="1">
      <alignment horizontal="left" vertical="top"/>
    </xf>
    <xf numFmtId="2" fontId="14" fillId="0" borderId="0" xfId="0" applyNumberFormat="1" applyFont="1" applyFill="1" applyBorder="1" applyAlignment="1" applyProtection="1">
      <alignment vertical="top" wrapText="1"/>
    </xf>
    <xf numFmtId="2" fontId="14" fillId="9" borderId="116" xfId="0" applyNumberFormat="1" applyFont="1" applyFill="1" applyBorder="1" applyAlignment="1">
      <alignment horizontal="center" vertical="top" wrapText="1"/>
    </xf>
    <xf numFmtId="2" fontId="14" fillId="2" borderId="99" xfId="0" applyNumberFormat="1" applyFont="1" applyFill="1" applyBorder="1" applyAlignment="1" applyProtection="1">
      <alignment horizontal="center" vertical="top" wrapText="1"/>
    </xf>
    <xf numFmtId="1" fontId="14" fillId="2" borderId="0" xfId="0" applyNumberFormat="1" applyFont="1" applyFill="1" applyBorder="1" applyAlignment="1">
      <alignment horizontal="center" vertical="top" wrapText="1"/>
    </xf>
    <xf numFmtId="2" fontId="14" fillId="3" borderId="126" xfId="0" applyNumberFormat="1" applyFont="1" applyFill="1" applyBorder="1" applyAlignment="1">
      <alignment horizontal="center" vertical="top"/>
    </xf>
    <xf numFmtId="2" fontId="14" fillId="2" borderId="129" xfId="0" applyNumberFormat="1" applyFont="1" applyFill="1" applyBorder="1" applyAlignment="1">
      <alignment horizontal="center" vertical="top"/>
    </xf>
    <xf numFmtId="2" fontId="14" fillId="2" borderId="121" xfId="0" applyNumberFormat="1" applyFont="1" applyFill="1" applyBorder="1" applyAlignment="1">
      <alignment horizontal="center" vertical="top"/>
    </xf>
    <xf numFmtId="2" fontId="14" fillId="2" borderId="34" xfId="0" applyNumberFormat="1" applyFont="1" applyFill="1" applyBorder="1" applyAlignment="1">
      <alignment horizontal="center" vertical="top"/>
    </xf>
    <xf numFmtId="0" fontId="47" fillId="0" borderId="125" xfId="0" applyFont="1" applyBorder="1" applyAlignment="1">
      <alignment horizontal="left" vertical="top" wrapText="1"/>
    </xf>
    <xf numFmtId="0" fontId="26" fillId="0" borderId="0" xfId="0" applyFont="1">
      <alignment vertical="top"/>
    </xf>
    <xf numFmtId="0" fontId="13" fillId="0" borderId="107" xfId="0" applyFont="1" applyFill="1" applyBorder="1" applyAlignment="1" applyProtection="1">
      <alignment horizontal="center" vertical="top" wrapText="1"/>
      <protection locked="0"/>
    </xf>
    <xf numFmtId="0" fontId="15" fillId="0" borderId="100" xfId="0" applyFont="1" applyBorder="1" applyAlignment="1">
      <alignment horizontal="left" vertical="top" wrapText="1"/>
    </xf>
    <xf numFmtId="0" fontId="15" fillId="0" borderId="43" xfId="0" applyFont="1" applyBorder="1" applyAlignment="1">
      <alignment horizontal="left" vertical="top" wrapText="1"/>
    </xf>
    <xf numFmtId="0" fontId="15" fillId="0" borderId="112" xfId="0" applyFont="1" applyBorder="1" applyAlignment="1">
      <alignment horizontal="left" vertical="top" wrapText="1"/>
    </xf>
    <xf numFmtId="0" fontId="15" fillId="0" borderId="21" xfId="0" applyFont="1" applyBorder="1" applyAlignment="1">
      <alignment horizontal="left" vertical="top" wrapText="1"/>
    </xf>
    <xf numFmtId="0" fontId="58" fillId="6" borderId="3" xfId="0" applyFont="1" applyFill="1" applyBorder="1" applyAlignment="1">
      <alignment vertical="top" wrapText="1"/>
    </xf>
    <xf numFmtId="0" fontId="15" fillId="6" borderId="100" xfId="0" applyFont="1" applyFill="1" applyBorder="1" applyAlignment="1">
      <alignment vertical="top" wrapText="1"/>
    </xf>
    <xf numFmtId="0" fontId="14" fillId="6" borderId="17" xfId="0" applyFont="1" applyFill="1" applyBorder="1" applyAlignment="1">
      <alignment vertical="top" wrapText="1"/>
    </xf>
    <xf numFmtId="0" fontId="14" fillId="6" borderId="112" xfId="0" applyFont="1" applyFill="1" applyBorder="1" applyAlignment="1">
      <alignment vertical="top" wrapText="1"/>
    </xf>
    <xf numFmtId="0" fontId="14" fillId="0" borderId="99" xfId="0" applyFont="1" applyFill="1" applyBorder="1" applyAlignment="1" applyProtection="1">
      <alignment horizontal="center" vertical="top"/>
      <protection locked="0"/>
    </xf>
    <xf numFmtId="0" fontId="14" fillId="0" borderId="69" xfId="0" applyFont="1" applyBorder="1" applyAlignment="1" applyProtection="1">
      <alignment vertical="top" wrapText="1"/>
    </xf>
    <xf numFmtId="0" fontId="14" fillId="0" borderId="128" xfId="0" applyFont="1" applyBorder="1" applyAlignment="1" applyProtection="1">
      <alignment vertical="top" wrapText="1"/>
    </xf>
    <xf numFmtId="0" fontId="14" fillId="8" borderId="111" xfId="0" applyFont="1" applyFill="1" applyBorder="1" applyAlignment="1">
      <alignment horizontal="center" vertical="top" wrapText="1"/>
    </xf>
    <xf numFmtId="0" fontId="14" fillId="0" borderId="105" xfId="0" applyFont="1" applyBorder="1" applyAlignment="1">
      <alignment horizontal="center" vertical="top" wrapText="1"/>
    </xf>
    <xf numFmtId="0" fontId="14" fillId="0" borderId="44" xfId="0" applyFont="1" applyBorder="1" applyAlignment="1">
      <alignment horizontal="center" vertical="top" wrapText="1"/>
    </xf>
    <xf numFmtId="0" fontId="14" fillId="0" borderId="101" xfId="0" applyNumberFormat="1" applyFont="1" applyFill="1" applyBorder="1" applyAlignment="1">
      <alignment horizontal="left" vertical="top" wrapText="1"/>
    </xf>
    <xf numFmtId="0" fontId="14" fillId="0" borderId="105" xfId="0" applyNumberFormat="1" applyFont="1" applyFill="1" applyBorder="1" applyAlignment="1">
      <alignment horizontal="left" vertical="top" wrapText="1"/>
    </xf>
    <xf numFmtId="0" fontId="14" fillId="0" borderId="126" xfId="0" applyNumberFormat="1" applyFont="1" applyFill="1" applyBorder="1" applyAlignment="1">
      <alignment horizontal="left" vertical="top" wrapText="1"/>
    </xf>
    <xf numFmtId="0" fontId="14" fillId="0" borderId="44" xfId="0" applyNumberFormat="1" applyFont="1" applyFill="1" applyBorder="1" applyAlignment="1">
      <alignment horizontal="left" vertical="top" wrapText="1"/>
    </xf>
    <xf numFmtId="1" fontId="14" fillId="0" borderId="59" xfId="0" applyNumberFormat="1" applyFont="1" applyFill="1" applyBorder="1" applyAlignment="1">
      <alignment horizontal="left" vertical="top" wrapText="1"/>
    </xf>
    <xf numFmtId="1" fontId="14" fillId="2" borderId="78" xfId="0" applyNumberFormat="1" applyFont="1" applyFill="1" applyBorder="1" applyAlignment="1" applyProtection="1">
      <alignment horizontal="center" vertical="top" wrapText="1"/>
      <protection hidden="1"/>
    </xf>
    <xf numFmtId="0" fontId="14" fillId="2" borderId="55" xfId="0" applyFont="1" applyFill="1" applyBorder="1" applyAlignment="1" applyProtection="1">
      <alignment horizontal="center" vertical="top" wrapText="1"/>
      <protection hidden="1"/>
    </xf>
    <xf numFmtId="2" fontId="14" fillId="9" borderId="126" xfId="0" applyNumberFormat="1" applyFont="1" applyFill="1" applyBorder="1" applyAlignment="1" applyProtection="1">
      <alignment horizontal="center" vertical="top" wrapText="1"/>
    </xf>
    <xf numFmtId="1" fontId="14" fillId="0" borderId="106" xfId="0" applyNumberFormat="1" applyFont="1" applyFill="1" applyBorder="1" applyAlignment="1">
      <alignment horizontal="left" vertical="top" wrapText="1"/>
    </xf>
    <xf numFmtId="1" fontId="14" fillId="2" borderId="100" xfId="0" applyNumberFormat="1" applyFont="1" applyFill="1" applyBorder="1" applyAlignment="1" applyProtection="1">
      <alignment horizontal="center" vertical="top" wrapText="1"/>
      <protection hidden="1"/>
    </xf>
    <xf numFmtId="2" fontId="14" fillId="2" borderId="3" xfId="0" applyNumberFormat="1" applyFont="1" applyFill="1" applyBorder="1" applyAlignment="1" applyProtection="1">
      <alignment horizontal="center" vertical="top" wrapText="1"/>
    </xf>
    <xf numFmtId="2" fontId="14" fillId="2" borderId="100" xfId="0" applyNumberFormat="1" applyFont="1" applyFill="1" applyBorder="1" applyAlignment="1" applyProtection="1">
      <alignment horizontal="center" vertical="top" wrapText="1"/>
    </xf>
    <xf numFmtId="1" fontId="14" fillId="0" borderId="35" xfId="0" applyNumberFormat="1" applyFont="1" applyFill="1" applyBorder="1" applyAlignment="1">
      <alignment horizontal="left" vertical="top" wrapText="1"/>
    </xf>
    <xf numFmtId="1" fontId="14" fillId="2" borderId="43" xfId="0" applyNumberFormat="1" applyFont="1" applyFill="1" applyBorder="1" applyAlignment="1" applyProtection="1">
      <alignment horizontal="center" vertical="top" wrapText="1"/>
      <protection hidden="1"/>
    </xf>
    <xf numFmtId="0" fontId="14" fillId="2" borderId="43" xfId="0" applyFont="1" applyFill="1" applyBorder="1" applyAlignment="1" applyProtection="1">
      <alignment horizontal="center" vertical="top" wrapText="1"/>
      <protection hidden="1"/>
    </xf>
    <xf numFmtId="2" fontId="14" fillId="2" borderId="43" xfId="0" applyNumberFormat="1" applyFont="1" applyFill="1" applyBorder="1" applyAlignment="1" applyProtection="1">
      <alignment horizontal="center" vertical="top" wrapText="1"/>
    </xf>
    <xf numFmtId="0" fontId="14" fillId="0" borderId="126" xfId="0" applyFont="1" applyBorder="1" applyAlignment="1">
      <alignment vertical="top" wrapText="1"/>
    </xf>
    <xf numFmtId="1" fontId="14" fillId="2" borderId="101" xfId="0" applyNumberFormat="1" applyFont="1" applyFill="1" applyBorder="1" applyAlignment="1" applyProtection="1">
      <alignment horizontal="center" vertical="top" wrapText="1"/>
      <protection hidden="1"/>
    </xf>
    <xf numFmtId="2" fontId="14" fillId="3" borderId="19" xfId="0" applyNumberFormat="1" applyFont="1" applyFill="1" applyBorder="1" applyAlignment="1" applyProtection="1">
      <alignment horizontal="center" vertical="top" wrapText="1"/>
    </xf>
    <xf numFmtId="0" fontId="14" fillId="0" borderId="3" xfId="0" applyNumberFormat="1" applyFont="1" applyFill="1" applyBorder="1" applyAlignment="1">
      <alignment horizontal="left" vertical="top" wrapText="1"/>
    </xf>
    <xf numFmtId="0" fontId="14" fillId="0" borderId="100" xfId="0" applyNumberFormat="1" applyFont="1" applyFill="1" applyBorder="1" applyAlignment="1">
      <alignment horizontal="left" vertical="top" wrapText="1"/>
    </xf>
    <xf numFmtId="1" fontId="14" fillId="11" borderId="126" xfId="0" applyNumberFormat="1" applyFont="1" applyFill="1" applyBorder="1" applyAlignment="1" applyProtection="1">
      <alignment horizontal="left" vertical="top" wrapText="1"/>
      <protection hidden="1"/>
    </xf>
    <xf numFmtId="0" fontId="47" fillId="0" borderId="126" xfId="0" applyFont="1" applyFill="1" applyBorder="1" applyAlignment="1">
      <alignment horizontal="left" vertical="top"/>
    </xf>
    <xf numFmtId="1" fontId="14" fillId="2" borderId="105" xfId="0" applyNumberFormat="1" applyFont="1" applyFill="1" applyBorder="1" applyAlignment="1">
      <alignment horizontal="center" vertical="top"/>
    </xf>
    <xf numFmtId="1" fontId="72" fillId="2" borderId="58" xfId="0" applyNumberFormat="1" applyFont="1" applyFill="1" applyBorder="1" applyAlignment="1">
      <alignment horizontal="center" vertical="top" wrapText="1"/>
    </xf>
    <xf numFmtId="1" fontId="72" fillId="2" borderId="78" xfId="0" applyNumberFormat="1" applyFont="1" applyFill="1" applyBorder="1" applyAlignment="1">
      <alignment horizontal="center" vertical="top" wrapText="1"/>
    </xf>
    <xf numFmtId="1" fontId="72" fillId="2" borderId="55" xfId="0" applyNumberFormat="1" applyFont="1" applyFill="1" applyBorder="1" applyAlignment="1">
      <alignment horizontal="center" vertical="top" wrapText="1"/>
    </xf>
    <xf numFmtId="2" fontId="72" fillId="2" borderId="8" xfId="0" applyNumberFormat="1" applyFont="1" applyFill="1" applyBorder="1" applyAlignment="1">
      <alignment horizontal="center" vertical="top" wrapText="1"/>
    </xf>
    <xf numFmtId="2" fontId="72" fillId="2" borderId="104" xfId="0" applyNumberFormat="1" applyFont="1" applyFill="1" applyBorder="1" applyAlignment="1">
      <alignment horizontal="center" vertical="top" wrapText="1"/>
    </xf>
    <xf numFmtId="0" fontId="14" fillId="0" borderId="43" xfId="0" applyFont="1" applyBorder="1" applyAlignment="1">
      <alignment vertical="top" wrapText="1"/>
    </xf>
    <xf numFmtId="2" fontId="72" fillId="2" borderId="42" xfId="0" applyNumberFormat="1" applyFont="1" applyFill="1" applyBorder="1" applyAlignment="1">
      <alignment horizontal="center" vertical="top" wrapText="1"/>
    </xf>
    <xf numFmtId="0" fontId="14" fillId="0" borderId="126" xfId="0" applyFont="1" applyFill="1" applyBorder="1" applyAlignment="1">
      <alignment horizontal="left" vertical="top" wrapText="1"/>
    </xf>
    <xf numFmtId="0" fontId="14" fillId="0" borderId="69" xfId="0" applyFont="1" applyBorder="1" applyAlignment="1">
      <alignment horizontal="left" vertical="top" wrapText="1"/>
    </xf>
    <xf numFmtId="0" fontId="14" fillId="0" borderId="128" xfId="0" applyFont="1" applyBorder="1" applyAlignment="1">
      <alignment horizontal="left" vertical="top" wrapText="1"/>
    </xf>
    <xf numFmtId="0" fontId="14" fillId="0" borderId="33" xfId="0" applyFont="1" applyBorder="1" applyAlignment="1">
      <alignment horizontal="left" vertical="top" wrapText="1"/>
    </xf>
    <xf numFmtId="2" fontId="14" fillId="2" borderId="34" xfId="0" applyNumberFormat="1" applyFont="1" applyFill="1" applyBorder="1" applyAlignment="1">
      <alignment horizontal="center" vertical="top" wrapText="1"/>
    </xf>
    <xf numFmtId="0" fontId="47" fillId="0" borderId="126" xfId="0" applyFont="1" applyBorder="1" applyAlignment="1">
      <alignment vertical="top" wrapText="1"/>
    </xf>
    <xf numFmtId="0" fontId="18" fillId="0" borderId="0" xfId="0" applyFont="1" applyFill="1" applyAlignment="1">
      <alignment horizontal="center" vertical="top"/>
    </xf>
    <xf numFmtId="0" fontId="18" fillId="0" borderId="0" xfId="0" applyFont="1" applyAlignment="1"/>
    <xf numFmtId="0" fontId="24" fillId="9" borderId="40" xfId="0" applyFont="1" applyFill="1" applyBorder="1" applyAlignment="1">
      <alignment horizontal="center" vertical="center" wrapText="1"/>
    </xf>
    <xf numFmtId="0" fontId="24" fillId="9" borderId="10" xfId="0" applyFont="1" applyFill="1" applyBorder="1" applyAlignment="1">
      <alignment horizontal="center" vertical="center" wrapText="1"/>
    </xf>
    <xf numFmtId="1" fontId="24" fillId="9" borderId="40" xfId="0" applyNumberFormat="1" applyFont="1" applyFill="1" applyBorder="1" applyAlignment="1" applyProtection="1">
      <alignment horizontal="center" vertical="center" wrapText="1"/>
      <protection hidden="1"/>
    </xf>
    <xf numFmtId="0" fontId="24" fillId="9" borderId="10" xfId="0" applyFont="1" applyFill="1" applyBorder="1" applyAlignment="1" applyProtection="1">
      <alignment horizontal="center" vertical="center" wrapText="1"/>
      <protection hidden="1"/>
    </xf>
    <xf numFmtId="2" fontId="24" fillId="9" borderId="19" xfId="0" applyNumberFormat="1" applyFont="1" applyFill="1" applyBorder="1" applyAlignment="1" applyProtection="1">
      <alignment horizontal="center" vertical="center" wrapText="1"/>
    </xf>
    <xf numFmtId="0" fontId="74" fillId="9" borderId="40" xfId="0" applyFont="1" applyFill="1" applyBorder="1" applyAlignment="1">
      <alignment horizontal="center" vertical="center" wrapText="1"/>
    </xf>
    <xf numFmtId="1" fontId="18" fillId="0" borderId="0" xfId="0" applyNumberFormat="1" applyFont="1" applyBorder="1" applyAlignment="1">
      <alignment horizontal="center" vertical="top"/>
    </xf>
    <xf numFmtId="2" fontId="14" fillId="12" borderId="126" xfId="0" applyNumberFormat="1" applyFont="1" applyFill="1" applyBorder="1" applyAlignment="1">
      <alignment horizontal="center" vertical="top"/>
    </xf>
    <xf numFmtId="0" fontId="14" fillId="0" borderId="126" xfId="0" applyFont="1" applyFill="1" applyBorder="1" applyAlignment="1">
      <alignment vertical="top" wrapText="1"/>
    </xf>
    <xf numFmtId="1" fontId="47" fillId="0" borderId="87" xfId="0" applyNumberFormat="1" applyFont="1" applyBorder="1" applyAlignment="1">
      <alignment horizontal="center" vertical="top" wrapText="1"/>
    </xf>
    <xf numFmtId="1" fontId="47" fillId="0" borderId="82" xfId="0" applyNumberFormat="1" applyFont="1" applyBorder="1" applyAlignment="1">
      <alignment horizontal="center" vertical="top" wrapText="1"/>
    </xf>
    <xf numFmtId="1" fontId="47" fillId="0" borderId="44" xfId="0" applyNumberFormat="1" applyFont="1" applyBorder="1" applyAlignment="1">
      <alignment horizontal="center" vertical="top" wrapText="1"/>
    </xf>
    <xf numFmtId="1" fontId="47" fillId="0" borderId="87" xfId="0" applyNumberFormat="1" applyFont="1" applyBorder="1" applyAlignment="1">
      <alignment horizontal="left" vertical="top" wrapText="1"/>
    </xf>
    <xf numFmtId="1" fontId="47" fillId="0" borderId="82" xfId="0" applyNumberFormat="1" applyFont="1" applyBorder="1" applyAlignment="1">
      <alignment horizontal="left" vertical="top" wrapText="1"/>
    </xf>
    <xf numFmtId="1" fontId="47" fillId="0" borderId="44" xfId="0" applyNumberFormat="1" applyFont="1" applyBorder="1" applyAlignment="1">
      <alignment horizontal="left" vertical="top" wrapText="1"/>
    </xf>
    <xf numFmtId="1" fontId="14" fillId="11" borderId="57" xfId="0" applyNumberFormat="1" applyFont="1" applyFill="1" applyBorder="1" applyAlignment="1" applyProtection="1">
      <alignment vertical="top" wrapText="1"/>
      <protection hidden="1"/>
    </xf>
    <xf numFmtId="1" fontId="14" fillId="2" borderId="58" xfId="0" applyNumberFormat="1" applyFont="1" applyFill="1" applyBorder="1" applyAlignment="1" applyProtection="1">
      <alignment horizontal="center" vertical="top" wrapText="1"/>
      <protection hidden="1"/>
    </xf>
    <xf numFmtId="1" fontId="14" fillId="0" borderId="126" xfId="0" applyNumberFormat="1" applyFont="1" applyFill="1" applyBorder="1" applyAlignment="1">
      <alignment horizontal="left" vertical="top" wrapText="1"/>
    </xf>
    <xf numFmtId="49" fontId="24" fillId="9" borderId="68" xfId="0" applyNumberFormat="1" applyFont="1" applyFill="1" applyBorder="1" applyAlignment="1">
      <alignment horizontal="center" vertical="center" wrapText="1"/>
    </xf>
    <xf numFmtId="1" fontId="47" fillId="11" borderId="57" xfId="0" applyNumberFormat="1" applyFont="1" applyFill="1" applyBorder="1" applyAlignment="1" applyProtection="1">
      <alignment horizontal="left" vertical="top" wrapText="1"/>
      <protection hidden="1"/>
    </xf>
    <xf numFmtId="0" fontId="53" fillId="0" borderId="0" xfId="0" applyFont="1" applyFill="1" applyBorder="1" applyAlignment="1">
      <alignment horizontal="center" vertical="top" wrapText="1"/>
    </xf>
    <xf numFmtId="0" fontId="47" fillId="0" borderId="0" xfId="0" applyFont="1" applyAlignment="1"/>
    <xf numFmtId="2" fontId="14" fillId="12" borderId="59" xfId="0" applyNumberFormat="1" applyFont="1" applyFill="1" applyBorder="1" applyAlignment="1">
      <alignment horizontal="center" vertical="top"/>
    </xf>
    <xf numFmtId="1" fontId="47" fillId="11" borderId="19" xfId="0" applyNumberFormat="1" applyFont="1" applyFill="1" applyBorder="1" applyAlignment="1" applyProtection="1">
      <alignment horizontal="left" vertical="top" wrapText="1"/>
      <protection hidden="1"/>
    </xf>
    <xf numFmtId="0" fontId="14" fillId="0" borderId="0" xfId="0" applyNumberFormat="1" applyFont="1" applyAlignment="1">
      <alignment horizontal="left" vertical="top" wrapText="1"/>
    </xf>
    <xf numFmtId="1" fontId="14" fillId="0" borderId="125" xfId="0" applyNumberFormat="1" applyFont="1" applyFill="1" applyBorder="1" applyAlignment="1">
      <alignment horizontal="left" vertical="top" wrapText="1"/>
    </xf>
    <xf numFmtId="1" fontId="14" fillId="0" borderId="126" xfId="0" applyNumberFormat="1" applyFont="1" applyFill="1" applyBorder="1" applyAlignment="1" applyProtection="1">
      <alignment horizontal="left" vertical="top" wrapText="1"/>
      <protection hidden="1"/>
    </xf>
    <xf numFmtId="0" fontId="18" fillId="0" borderId="0" xfId="0" applyFont="1" applyAlignment="1">
      <alignment horizontal="left"/>
    </xf>
    <xf numFmtId="0" fontId="14" fillId="14" borderId="20" xfId="0" applyFont="1" applyFill="1" applyBorder="1" applyAlignment="1" applyProtection="1">
      <alignment horizontal="center" vertical="top" wrapText="1"/>
      <protection locked="0"/>
    </xf>
    <xf numFmtId="0" fontId="14" fillId="0" borderId="121" xfId="0" applyFont="1" applyBorder="1" applyAlignment="1" applyProtection="1">
      <alignment horizontal="center" vertical="top"/>
      <protection locked="0"/>
    </xf>
    <xf numFmtId="0" fontId="14" fillId="0" borderId="34" xfId="0" applyFont="1" applyBorder="1" applyAlignment="1" applyProtection="1">
      <alignment horizontal="center" vertical="top"/>
      <protection locked="0"/>
    </xf>
    <xf numFmtId="0" fontId="14" fillId="0" borderId="31" xfId="0" applyFont="1" applyFill="1" applyBorder="1" applyAlignment="1" applyProtection="1">
      <alignment horizontal="left" vertical="top" wrapText="1"/>
    </xf>
    <xf numFmtId="0" fontId="14" fillId="0" borderId="19" xfId="0" applyFont="1" applyFill="1" applyBorder="1" applyAlignment="1" applyProtection="1">
      <alignment horizontal="left" vertical="top" wrapText="1"/>
    </xf>
    <xf numFmtId="0" fontId="14" fillId="0" borderId="20" xfId="0" applyFont="1" applyFill="1" applyBorder="1" applyAlignment="1">
      <alignment horizontal="left" vertical="top"/>
    </xf>
    <xf numFmtId="0" fontId="14" fillId="0" borderId="26" xfId="0" applyFont="1" applyFill="1" applyBorder="1" applyAlignment="1">
      <alignment horizontal="left" vertical="top"/>
    </xf>
    <xf numFmtId="0" fontId="14" fillId="0" borderId="40" xfId="0" applyFont="1" applyFill="1" applyBorder="1" applyAlignment="1">
      <alignment horizontal="left" vertical="top"/>
    </xf>
    <xf numFmtId="0" fontId="14" fillId="0" borderId="26" xfId="0" applyFont="1" applyFill="1" applyBorder="1" applyAlignment="1">
      <alignment horizontal="left" vertical="top" wrapText="1"/>
    </xf>
    <xf numFmtId="0" fontId="14" fillId="0" borderId="20" xfId="0" applyFont="1" applyFill="1" applyBorder="1" applyAlignment="1" applyProtection="1">
      <alignment horizontal="left" vertical="top" wrapText="1"/>
    </xf>
    <xf numFmtId="0" fontId="14" fillId="0" borderId="26" xfId="0" applyFont="1" applyBorder="1" applyAlignment="1" applyProtection="1">
      <alignment vertical="top" wrapText="1"/>
    </xf>
    <xf numFmtId="0" fontId="14" fillId="0" borderId="40" xfId="0" applyFont="1" applyBorder="1" applyAlignment="1" applyProtection="1">
      <alignment vertical="top" wrapText="1"/>
    </xf>
    <xf numFmtId="0" fontId="14" fillId="0" borderId="20" xfId="1" applyFont="1" applyFill="1" applyBorder="1" applyAlignment="1">
      <alignment horizontal="left" vertical="top" wrapText="1"/>
    </xf>
    <xf numFmtId="0" fontId="14" fillId="0" borderId="40" xfId="1" applyFont="1" applyFill="1" applyBorder="1" applyAlignment="1">
      <alignment horizontal="left" vertical="top" wrapText="1"/>
    </xf>
    <xf numFmtId="0" fontId="14" fillId="0" borderId="20" xfId="0" applyFont="1" applyFill="1" applyBorder="1" applyAlignment="1">
      <alignment horizontal="left" vertical="top" wrapText="1"/>
    </xf>
    <xf numFmtId="1" fontId="14" fillId="0" borderId="31" xfId="0" applyNumberFormat="1" applyFont="1" applyFill="1" applyBorder="1" applyAlignment="1">
      <alignment horizontal="left" vertical="top" wrapText="1"/>
    </xf>
    <xf numFmtId="1" fontId="14" fillId="0" borderId="57" xfId="0" applyNumberFormat="1" applyFont="1" applyFill="1" applyBorder="1" applyAlignment="1">
      <alignment horizontal="left" vertical="top" wrapText="1"/>
    </xf>
    <xf numFmtId="1" fontId="14" fillId="0" borderId="20" xfId="0" applyNumberFormat="1" applyFont="1" applyFill="1" applyBorder="1" applyAlignment="1">
      <alignment horizontal="left" vertical="top" wrapText="1"/>
    </xf>
    <xf numFmtId="1" fontId="14" fillId="0" borderId="40" xfId="0" applyNumberFormat="1" applyFont="1" applyFill="1" applyBorder="1" applyAlignment="1">
      <alignment horizontal="left" vertical="top" wrapText="1"/>
    </xf>
    <xf numFmtId="0" fontId="47" fillId="0" borderId="20" xfId="0" applyFont="1" applyFill="1" applyBorder="1" applyAlignment="1">
      <alignment horizontal="left" vertical="top" wrapText="1"/>
    </xf>
    <xf numFmtId="0" fontId="47" fillId="0" borderId="26" xfId="0" applyFont="1" applyFill="1" applyBorder="1" applyAlignment="1">
      <alignment horizontal="left" vertical="top" wrapText="1"/>
    </xf>
    <xf numFmtId="0" fontId="47" fillId="0" borderId="40" xfId="0" applyFont="1" applyFill="1" applyBorder="1" applyAlignment="1">
      <alignment horizontal="left" vertical="top" wrapText="1"/>
    </xf>
    <xf numFmtId="0" fontId="14" fillId="0" borderId="40" xfId="0" applyFont="1" applyFill="1" applyBorder="1" applyAlignment="1">
      <alignment horizontal="left" vertical="top" wrapText="1"/>
    </xf>
    <xf numFmtId="0" fontId="14" fillId="0" borderId="20" xfId="0" applyFont="1" applyBorder="1" applyAlignment="1">
      <alignment horizontal="left" vertical="top" wrapText="1"/>
    </xf>
    <xf numFmtId="0" fontId="14" fillId="0" borderId="26" xfId="0" applyFont="1" applyBorder="1" applyAlignment="1">
      <alignment horizontal="left" vertical="top" wrapText="1"/>
    </xf>
    <xf numFmtId="0" fontId="14" fillId="0" borderId="17" xfId="0" applyFont="1" applyBorder="1" applyAlignment="1">
      <alignment horizontal="left" vertical="top" wrapText="1"/>
    </xf>
    <xf numFmtId="0" fontId="14" fillId="0" borderId="40" xfId="0" applyFont="1" applyBorder="1" applyAlignment="1">
      <alignment horizontal="left" vertical="top" wrapText="1"/>
    </xf>
    <xf numFmtId="1" fontId="14" fillId="0" borderId="13" xfId="0" applyNumberFormat="1" applyFont="1" applyFill="1" applyBorder="1" applyAlignment="1" applyProtection="1">
      <alignment horizontal="left" vertical="top" wrapText="1"/>
      <protection hidden="1"/>
    </xf>
    <xf numFmtId="0" fontId="47" fillId="0" borderId="67" xfId="0" applyFont="1" applyFill="1" applyBorder="1" applyAlignment="1">
      <alignment horizontal="left" vertical="top" wrapText="1"/>
    </xf>
    <xf numFmtId="1" fontId="14" fillId="0" borderId="26" xfId="0" applyNumberFormat="1" applyFont="1" applyFill="1" applyBorder="1" applyAlignment="1" applyProtection="1">
      <alignment horizontal="left" vertical="top" wrapText="1"/>
      <protection hidden="1"/>
    </xf>
    <xf numFmtId="0" fontId="14" fillId="0" borderId="57" xfId="0" applyFont="1" applyBorder="1" applyAlignment="1">
      <alignment horizontal="left" vertical="top" wrapText="1"/>
    </xf>
    <xf numFmtId="0" fontId="14" fillId="0" borderId="19" xfId="0" applyFont="1" applyBorder="1" applyAlignment="1">
      <alignment horizontal="left" vertical="top" wrapText="1"/>
    </xf>
    <xf numFmtId="0" fontId="14" fillId="0" borderId="13" xfId="0" applyFont="1" applyBorder="1" applyAlignment="1">
      <alignment horizontal="left" vertical="top" wrapText="1"/>
    </xf>
    <xf numFmtId="0" fontId="14" fillId="0" borderId="31" xfId="0" applyFont="1" applyFill="1" applyBorder="1" applyAlignment="1">
      <alignment horizontal="left" vertical="top" wrapText="1"/>
    </xf>
    <xf numFmtId="0" fontId="14" fillId="0" borderId="57" xfId="0" applyFont="1" applyFill="1" applyBorder="1" applyAlignment="1">
      <alignment horizontal="left" vertical="top" wrapText="1"/>
    </xf>
    <xf numFmtId="0" fontId="14" fillId="0" borderId="67" xfId="0" applyFont="1" applyFill="1" applyBorder="1" applyAlignment="1">
      <alignment vertical="top" wrapText="1"/>
    </xf>
    <xf numFmtId="0" fontId="14" fillId="0" borderId="67" xfId="0" applyFont="1" applyBorder="1" applyAlignment="1">
      <alignment vertical="top" wrapText="1"/>
    </xf>
    <xf numFmtId="0" fontId="14" fillId="0" borderId="68" xfId="0" applyFont="1" applyBorder="1" applyAlignment="1">
      <alignment vertical="top" wrapText="1"/>
    </xf>
    <xf numFmtId="0" fontId="14" fillId="0" borderId="12" xfId="0" applyFont="1" applyBorder="1" applyAlignment="1">
      <alignment vertical="top" wrapText="1"/>
    </xf>
    <xf numFmtId="0" fontId="14" fillId="0" borderId="20" xfId="0" applyFont="1" applyBorder="1" applyAlignment="1">
      <alignment vertical="top" wrapText="1"/>
    </xf>
    <xf numFmtId="0" fontId="14" fillId="0" borderId="26" xfId="0" applyFont="1" applyBorder="1" applyAlignment="1">
      <alignment vertical="top" wrapText="1"/>
    </xf>
    <xf numFmtId="0" fontId="14" fillId="0" borderId="40" xfId="0" applyFont="1" applyBorder="1" applyAlignment="1">
      <alignment vertical="top" wrapText="1"/>
    </xf>
    <xf numFmtId="0" fontId="14" fillId="0" borderId="67" xfId="0" applyFont="1" applyFill="1" applyBorder="1" applyAlignment="1">
      <alignment horizontal="left" vertical="top" wrapText="1"/>
    </xf>
    <xf numFmtId="0" fontId="14" fillId="0" borderId="68"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68" xfId="0" applyFont="1" applyBorder="1" applyAlignment="1">
      <alignment horizontal="left" vertical="top" wrapText="1"/>
    </xf>
    <xf numFmtId="0" fontId="14" fillId="0" borderId="26" xfId="0" applyNumberFormat="1" applyFont="1" applyFill="1" applyBorder="1" applyAlignment="1">
      <alignment horizontal="left" vertical="top" wrapText="1"/>
    </xf>
    <xf numFmtId="0" fontId="14" fillId="0" borderId="40"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112"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67" xfId="0" applyFont="1" applyBorder="1" applyAlignment="1">
      <alignment horizontal="left" vertical="top" wrapText="1"/>
    </xf>
    <xf numFmtId="0" fontId="14" fillId="0" borderId="112" xfId="0" applyFont="1" applyBorder="1" applyAlignment="1">
      <alignment horizontal="left" vertical="top" wrapText="1"/>
    </xf>
    <xf numFmtId="0" fontId="14" fillId="0" borderId="107" xfId="0" applyFont="1" applyBorder="1" applyAlignment="1">
      <alignment horizontal="left" vertical="top" wrapText="1"/>
    </xf>
    <xf numFmtId="0" fontId="14" fillId="0" borderId="20" xfId="0" applyFont="1" applyFill="1" applyBorder="1" applyAlignment="1">
      <alignment vertical="top" wrapText="1"/>
    </xf>
    <xf numFmtId="0" fontId="14" fillId="0" borderId="31" xfId="0" applyFont="1" applyFill="1" applyBorder="1" applyAlignment="1">
      <alignment vertical="top" wrapText="1"/>
    </xf>
    <xf numFmtId="0" fontId="47" fillId="0" borderId="20" xfId="0" applyFont="1" applyBorder="1" applyAlignment="1">
      <alignment horizontal="left" vertical="top" wrapText="1"/>
    </xf>
    <xf numFmtId="0" fontId="47" fillId="0" borderId="26" xfId="0" applyFont="1" applyBorder="1" applyAlignment="1">
      <alignment horizontal="left" vertical="top" wrapText="1"/>
    </xf>
    <xf numFmtId="0" fontId="47" fillId="0" borderId="40" xfId="0" applyFont="1" applyBorder="1" applyAlignment="1">
      <alignment horizontal="left" vertical="top" wrapText="1"/>
    </xf>
    <xf numFmtId="0" fontId="47" fillId="0" borderId="20" xfId="0" applyFont="1" applyFill="1" applyBorder="1" applyAlignment="1">
      <alignment vertical="top" wrapText="1"/>
    </xf>
    <xf numFmtId="0" fontId="14" fillId="0" borderId="26" xfId="0" applyFont="1" applyFill="1" applyBorder="1" applyAlignment="1">
      <alignment vertical="top" wrapText="1"/>
    </xf>
    <xf numFmtId="0" fontId="14" fillId="0" borderId="40" xfId="0" applyFont="1" applyFill="1" applyBorder="1" applyAlignment="1">
      <alignment vertical="top" wrapText="1"/>
    </xf>
    <xf numFmtId="0" fontId="47" fillId="0" borderId="26" xfId="0" applyFont="1" applyFill="1" applyBorder="1" applyAlignment="1">
      <alignment vertical="top" wrapText="1"/>
    </xf>
    <xf numFmtId="1" fontId="47" fillId="0" borderId="40" xfId="0" applyNumberFormat="1" applyFont="1" applyFill="1" applyBorder="1" applyAlignment="1">
      <alignment horizontal="left" vertical="top" wrapText="1"/>
    </xf>
    <xf numFmtId="0" fontId="14" fillId="0" borderId="13" xfId="0" applyFont="1" applyFill="1" applyBorder="1" applyAlignment="1">
      <alignment horizontal="left" vertical="top" wrapText="1"/>
    </xf>
    <xf numFmtId="1" fontId="14" fillId="0" borderId="19" xfId="0" applyNumberFormat="1" applyFont="1" applyFill="1" applyBorder="1" applyAlignment="1">
      <alignment horizontal="left" vertical="top" wrapText="1"/>
    </xf>
    <xf numFmtId="0" fontId="14" fillId="0" borderId="118" xfId="0" applyFont="1" applyFill="1" applyBorder="1" applyAlignment="1">
      <alignment horizontal="left" vertical="top" wrapText="1"/>
    </xf>
    <xf numFmtId="0" fontId="47" fillId="0" borderId="40" xfId="0" applyFont="1" applyFill="1" applyBorder="1" applyAlignment="1">
      <alignment vertical="top" wrapText="1"/>
    </xf>
    <xf numFmtId="0" fontId="47" fillId="0" borderId="20" xfId="0" applyFont="1" applyBorder="1" applyAlignment="1">
      <alignment vertical="top" wrapText="1"/>
    </xf>
    <xf numFmtId="0" fontId="47" fillId="0" borderId="26" xfId="0" applyFont="1" applyBorder="1" applyAlignment="1">
      <alignment vertical="top" wrapText="1"/>
    </xf>
    <xf numFmtId="0" fontId="47" fillId="0" borderId="40" xfId="0" applyFont="1" applyBorder="1" applyAlignment="1">
      <alignment vertical="top" wrapText="1"/>
    </xf>
    <xf numFmtId="0" fontId="47" fillId="0" borderId="112" xfId="0" applyFont="1" applyFill="1" applyBorder="1" applyAlignment="1">
      <alignment horizontal="left" vertical="top" wrapText="1"/>
    </xf>
    <xf numFmtId="0" fontId="14" fillId="0" borderId="26" xfId="0" applyFont="1" applyBorder="1" applyAlignment="1">
      <alignment horizontal="left" vertical="top"/>
    </xf>
    <xf numFmtId="0" fontId="14" fillId="0" borderId="40" xfId="0" applyFont="1" applyBorder="1" applyAlignment="1">
      <alignment horizontal="left" vertical="top"/>
    </xf>
    <xf numFmtId="0" fontId="14" fillId="0" borderId="19" xfId="0" applyFont="1" applyFill="1" applyBorder="1" applyAlignment="1">
      <alignment vertical="top" wrapText="1"/>
    </xf>
    <xf numFmtId="0" fontId="47" fillId="0" borderId="17" xfId="0" applyFont="1" applyFill="1" applyBorder="1" applyAlignment="1">
      <alignment vertical="top" wrapText="1"/>
    </xf>
    <xf numFmtId="0" fontId="47" fillId="0" borderId="112" xfId="0" applyFont="1" applyFill="1" applyBorder="1" applyAlignment="1">
      <alignment vertical="top" wrapText="1"/>
    </xf>
    <xf numFmtId="0" fontId="47" fillId="0" borderId="107" xfId="0" applyFont="1" applyFill="1" applyBorder="1" applyAlignment="1">
      <alignment vertical="top" wrapText="1"/>
    </xf>
    <xf numFmtId="0" fontId="47" fillId="0" borderId="118" xfId="0" applyFont="1" applyFill="1" applyBorder="1" applyAlignment="1">
      <alignment vertical="top" wrapText="1"/>
    </xf>
    <xf numFmtId="0" fontId="47" fillId="0" borderId="21" xfId="0" applyFont="1" applyFill="1" applyBorder="1" applyAlignment="1">
      <alignment vertical="top" wrapText="1"/>
    </xf>
    <xf numFmtId="0" fontId="47" fillId="0" borderId="25" xfId="0" applyFont="1" applyFill="1" applyBorder="1" applyAlignment="1">
      <alignment vertical="top" wrapText="1"/>
    </xf>
    <xf numFmtId="0" fontId="47" fillId="0" borderId="18" xfId="0" applyFont="1" applyFill="1" applyBorder="1" applyAlignment="1">
      <alignment vertical="top" wrapText="1"/>
    </xf>
    <xf numFmtId="0" fontId="14" fillId="0" borderId="108" xfId="0" applyFont="1" applyFill="1" applyBorder="1" applyAlignment="1">
      <alignment horizontal="left" vertical="top" wrapText="1"/>
    </xf>
    <xf numFmtId="0" fontId="14" fillId="0" borderId="28" xfId="0" applyFont="1" applyFill="1" applyBorder="1" applyAlignment="1">
      <alignment horizontal="left" vertical="top" wrapText="1"/>
    </xf>
    <xf numFmtId="0" fontId="14" fillId="0" borderId="18" xfId="0" applyFont="1" applyBorder="1" applyAlignment="1">
      <alignment horizontal="left" vertical="top" wrapText="1"/>
    </xf>
    <xf numFmtId="1" fontId="14" fillId="25" borderId="126" xfId="0" applyNumberFormat="1" applyFont="1" applyFill="1" applyBorder="1" applyAlignment="1">
      <alignment horizontal="left" vertical="top" wrapText="1"/>
    </xf>
    <xf numFmtId="2" fontId="14" fillId="2" borderId="106" xfId="0" applyNumberFormat="1" applyFont="1" applyFill="1" applyBorder="1" applyAlignment="1">
      <alignment horizontal="center" vertical="top" wrapText="1"/>
    </xf>
    <xf numFmtId="1" fontId="14" fillId="0" borderId="45" xfId="0" applyNumberFormat="1" applyFont="1" applyFill="1" applyBorder="1" applyAlignment="1">
      <alignment horizontal="center" vertical="top" wrapText="1"/>
    </xf>
    <xf numFmtId="1" fontId="14" fillId="0" borderId="41" xfId="0" applyNumberFormat="1" applyFont="1" applyBorder="1" applyAlignment="1">
      <alignment vertical="top" wrapText="1"/>
    </xf>
    <xf numFmtId="1" fontId="14" fillId="0" borderId="101" xfId="0" applyNumberFormat="1" applyFont="1" applyBorder="1" applyAlignment="1">
      <alignment vertical="top" wrapText="1"/>
    </xf>
    <xf numFmtId="1" fontId="14" fillId="0" borderId="105" xfId="0" applyNumberFormat="1" applyFont="1" applyBorder="1" applyAlignment="1">
      <alignment vertical="top" wrapText="1"/>
    </xf>
    <xf numFmtId="1" fontId="14" fillId="0" borderId="44" xfId="0" applyNumberFormat="1" applyFont="1" applyBorder="1" applyAlignment="1">
      <alignment vertical="top" wrapText="1"/>
    </xf>
    <xf numFmtId="1" fontId="14" fillId="0" borderId="47" xfId="0" applyNumberFormat="1" applyFont="1" applyBorder="1" applyAlignment="1">
      <alignment vertical="top" wrapText="1"/>
    </xf>
    <xf numFmtId="1" fontId="14" fillId="0" borderId="46" xfId="0" applyNumberFormat="1" applyFont="1" applyBorder="1" applyAlignment="1">
      <alignment horizontal="center" vertical="top" wrapText="1"/>
    </xf>
    <xf numFmtId="1" fontId="14" fillId="0" borderId="12" xfId="0" applyNumberFormat="1" applyFont="1" applyBorder="1" applyAlignment="1">
      <alignment horizontal="left" vertical="top" wrapText="1"/>
    </xf>
    <xf numFmtId="1" fontId="14" fillId="0" borderId="6" xfId="0" applyNumberFormat="1" applyFont="1" applyBorder="1" applyAlignment="1">
      <alignment horizontal="center" vertical="top" wrapText="1"/>
    </xf>
    <xf numFmtId="1" fontId="14" fillId="0" borderId="74" xfId="0" applyNumberFormat="1" applyFont="1" applyBorder="1" applyAlignment="1">
      <alignment horizontal="left" vertical="top" wrapText="1"/>
    </xf>
    <xf numFmtId="0" fontId="14" fillId="0" borderId="45" xfId="0" applyFont="1" applyBorder="1" applyAlignment="1">
      <alignment horizontal="center" vertical="top" wrapText="1"/>
    </xf>
    <xf numFmtId="1" fontId="14" fillId="0" borderId="68" xfId="0" applyNumberFormat="1" applyFont="1" applyBorder="1" applyAlignment="1">
      <alignment vertical="top" wrapText="1"/>
    </xf>
    <xf numFmtId="1" fontId="14" fillId="0" borderId="87" xfId="0" applyNumberFormat="1" applyFont="1" applyBorder="1" applyAlignment="1">
      <alignment vertical="top" wrapText="1"/>
    </xf>
    <xf numFmtId="1" fontId="14" fillId="0" borderId="87" xfId="0" applyNumberFormat="1" applyFont="1" applyBorder="1" applyAlignment="1">
      <alignment horizontal="center" vertical="top" wrapText="1"/>
    </xf>
    <xf numFmtId="0" fontId="14" fillId="0" borderId="98" xfId="0" applyFont="1" applyBorder="1" applyAlignment="1">
      <alignment horizontal="center" vertical="top" wrapText="1"/>
    </xf>
    <xf numFmtId="0" fontId="14" fillId="0" borderId="119" xfId="0" applyFont="1" applyBorder="1" applyAlignment="1">
      <alignment horizontal="left" vertical="top" wrapText="1"/>
    </xf>
    <xf numFmtId="0" fontId="14" fillId="0" borderId="120" xfId="0" applyFont="1" applyBorder="1" applyAlignment="1">
      <alignment horizontal="left" vertical="top" wrapText="1"/>
    </xf>
    <xf numFmtId="0" fontId="14" fillId="0" borderId="105" xfId="0" applyFont="1" applyFill="1" applyBorder="1" applyAlignment="1">
      <alignment horizontal="center" vertical="top" wrapText="1"/>
    </xf>
    <xf numFmtId="0" fontId="14" fillId="0" borderId="91" xfId="0" applyFont="1" applyFill="1" applyBorder="1" applyAlignment="1">
      <alignment horizontal="left" vertical="top" wrapText="1"/>
    </xf>
    <xf numFmtId="0" fontId="14" fillId="0" borderId="113" xfId="0" applyFont="1" applyBorder="1" applyAlignment="1">
      <alignment vertical="top" wrapText="1"/>
    </xf>
    <xf numFmtId="0" fontId="14" fillId="0" borderId="60" xfId="0" applyFont="1" applyBorder="1" applyAlignment="1">
      <alignment horizontal="left" vertical="top" wrapText="1"/>
    </xf>
    <xf numFmtId="0" fontId="14" fillId="0" borderId="0" xfId="0" applyFont="1" applyAlignment="1" applyProtection="1">
      <alignment vertical="top" wrapText="1"/>
      <protection hidden="1"/>
    </xf>
    <xf numFmtId="0" fontId="15" fillId="0" borderId="0" xfId="0" applyFont="1" applyFill="1" applyBorder="1" applyAlignment="1" applyProtection="1">
      <alignment vertical="top" wrapText="1"/>
      <protection hidden="1"/>
    </xf>
    <xf numFmtId="2" fontId="14" fillId="0" borderId="0" xfId="0" applyNumberFormat="1" applyFont="1" applyFill="1" applyBorder="1" applyAlignment="1" applyProtection="1">
      <alignment vertical="top" wrapText="1"/>
      <protection hidden="1"/>
    </xf>
    <xf numFmtId="0" fontId="47" fillId="0" borderId="0" xfId="0" applyFont="1" applyFill="1" applyBorder="1" applyAlignment="1" applyProtection="1">
      <alignment horizontal="right" vertical="top" wrapText="1"/>
      <protection hidden="1"/>
    </xf>
    <xf numFmtId="0" fontId="47" fillId="0" borderId="0" xfId="0" applyFont="1" applyFill="1" applyBorder="1" applyAlignment="1" applyProtection="1">
      <alignment vertical="top" wrapText="1"/>
      <protection hidden="1"/>
    </xf>
    <xf numFmtId="2" fontId="47" fillId="0" borderId="0" xfId="0" applyNumberFormat="1" applyFont="1" applyFill="1" applyBorder="1" applyAlignment="1" applyProtection="1">
      <alignment horizontal="center" vertical="top" wrapText="1"/>
      <protection hidden="1"/>
    </xf>
    <xf numFmtId="2" fontId="14" fillId="0" borderId="0" xfId="0" applyNumberFormat="1" applyFont="1" applyFill="1" applyBorder="1" applyAlignment="1" applyProtection="1">
      <alignment horizontal="center" vertical="top" wrapText="1"/>
      <protection hidden="1"/>
    </xf>
    <xf numFmtId="0" fontId="18" fillId="0" borderId="0" xfId="0" applyFont="1" applyFill="1" applyBorder="1" applyAlignment="1" applyProtection="1">
      <alignment vertical="top" wrapText="1"/>
      <protection hidden="1"/>
    </xf>
    <xf numFmtId="0" fontId="53" fillId="0" borderId="0" xfId="0" applyFont="1" applyFill="1" applyBorder="1" applyAlignment="1" applyProtection="1">
      <alignment vertical="top" wrapText="1"/>
      <protection hidden="1"/>
    </xf>
    <xf numFmtId="0" fontId="14" fillId="0" borderId="120" xfId="0" applyFont="1" applyBorder="1" applyAlignment="1">
      <alignment vertical="top" wrapText="1"/>
    </xf>
    <xf numFmtId="1" fontId="47" fillId="2" borderId="39" xfId="0" applyNumberFormat="1" applyFont="1" applyFill="1" applyBorder="1" applyAlignment="1" applyProtection="1">
      <alignment horizontal="center" vertical="top" wrapText="1"/>
      <protection hidden="1"/>
    </xf>
    <xf numFmtId="0" fontId="47" fillId="2" borderId="123" xfId="0" applyFont="1" applyFill="1" applyBorder="1" applyAlignment="1" applyProtection="1">
      <alignment horizontal="center" vertical="top" wrapText="1"/>
      <protection hidden="1"/>
    </xf>
    <xf numFmtId="2" fontId="47" fillId="8" borderId="100" xfId="0" applyNumberFormat="1" applyFont="1" applyFill="1" applyBorder="1" applyAlignment="1">
      <alignment horizontal="center" vertical="top"/>
    </xf>
    <xf numFmtId="2" fontId="47" fillId="8" borderId="43" xfId="0" applyNumberFormat="1" applyFont="1" applyFill="1" applyBorder="1" applyAlignment="1">
      <alignment horizontal="center" vertical="top"/>
    </xf>
    <xf numFmtId="0" fontId="14" fillId="0" borderId="11" xfId="0" applyFont="1" applyBorder="1" applyAlignment="1">
      <alignment horizontal="center" vertical="top" wrapText="1"/>
    </xf>
    <xf numFmtId="1" fontId="14" fillId="2" borderId="71" xfId="0" applyNumberFormat="1" applyFont="1" applyFill="1" applyBorder="1" applyAlignment="1">
      <alignment horizontal="center" vertical="top" wrapText="1"/>
    </xf>
    <xf numFmtId="0" fontId="14" fillId="0" borderId="102" xfId="0" applyFont="1" applyBorder="1" applyAlignment="1">
      <alignment horizontal="left" vertical="top" wrapText="1"/>
    </xf>
    <xf numFmtId="0" fontId="14" fillId="0" borderId="35" xfId="0" applyFont="1" applyBorder="1" applyAlignment="1">
      <alignment horizontal="left" vertical="top" wrapText="1"/>
    </xf>
    <xf numFmtId="0" fontId="14" fillId="0" borderId="42" xfId="0" applyFont="1" applyBorder="1" applyAlignment="1">
      <alignment horizontal="center" vertical="top" wrapText="1"/>
    </xf>
    <xf numFmtId="0" fontId="14" fillId="0" borderId="9" xfId="0" applyFont="1" applyFill="1" applyBorder="1" applyAlignment="1">
      <alignment horizontal="center" vertical="top" wrapText="1"/>
    </xf>
    <xf numFmtId="0" fontId="14" fillId="0" borderId="76" xfId="0" applyFont="1" applyFill="1" applyBorder="1" applyAlignment="1">
      <alignment horizontal="left" vertical="top" wrapText="1"/>
    </xf>
    <xf numFmtId="0" fontId="14" fillId="0" borderId="89" xfId="0" applyFont="1" applyFill="1" applyBorder="1" applyAlignment="1">
      <alignment horizontal="left" vertical="top" wrapText="1"/>
    </xf>
    <xf numFmtId="1" fontId="14" fillId="2" borderId="94" xfId="0" applyNumberFormat="1" applyFont="1" applyFill="1" applyBorder="1" applyAlignment="1">
      <alignment horizontal="center" vertical="top" wrapText="1"/>
    </xf>
    <xf numFmtId="1" fontId="14" fillId="2" borderId="111" xfId="0" applyNumberFormat="1" applyFont="1" applyFill="1" applyBorder="1" applyAlignment="1">
      <alignment horizontal="center" vertical="top" wrapText="1"/>
    </xf>
    <xf numFmtId="0" fontId="14" fillId="2" borderId="84" xfId="0" applyNumberFormat="1" applyFont="1" applyFill="1" applyBorder="1" applyAlignment="1">
      <alignment horizontal="center" vertical="top" wrapText="1"/>
    </xf>
    <xf numFmtId="0" fontId="14" fillId="0" borderId="46" xfId="0" applyFont="1" applyBorder="1" applyAlignment="1">
      <alignment horizontal="center" vertical="top" wrapText="1"/>
    </xf>
    <xf numFmtId="2" fontId="14" fillId="0" borderId="47" xfId="0" applyNumberFormat="1" applyFont="1" applyBorder="1" applyAlignment="1">
      <alignment horizontal="left" vertical="top" wrapText="1"/>
    </xf>
    <xf numFmtId="2" fontId="14" fillId="0" borderId="99" xfId="0" applyNumberFormat="1" applyFont="1" applyBorder="1" applyAlignment="1">
      <alignment horizontal="center" vertical="top" wrapText="1"/>
    </xf>
    <xf numFmtId="2" fontId="14" fillId="0" borderId="111" xfId="0" applyNumberFormat="1" applyFont="1" applyFill="1" applyBorder="1" applyAlignment="1">
      <alignment vertical="top" wrapText="1"/>
    </xf>
    <xf numFmtId="1" fontId="14" fillId="0" borderId="111" xfId="0" applyNumberFormat="1" applyFont="1" applyFill="1" applyBorder="1" applyAlignment="1">
      <alignment horizontal="center" vertical="top" wrapText="1"/>
    </xf>
    <xf numFmtId="2" fontId="14" fillId="2" borderId="78" xfId="0" applyNumberFormat="1" applyFont="1" applyFill="1" applyBorder="1" applyAlignment="1" applyProtection="1">
      <alignment horizontal="center" vertical="top" wrapText="1"/>
    </xf>
    <xf numFmtId="2" fontId="14" fillId="2" borderId="32" xfId="0" applyNumberFormat="1" applyFont="1" applyFill="1" applyBorder="1" applyAlignment="1" applyProtection="1">
      <alignment horizontal="center" vertical="top" wrapText="1"/>
    </xf>
    <xf numFmtId="2" fontId="14" fillId="2" borderId="61" xfId="0" applyNumberFormat="1" applyFont="1" applyFill="1" applyBorder="1" applyAlignment="1" applyProtection="1">
      <alignment horizontal="center" vertical="top" wrapText="1"/>
    </xf>
    <xf numFmtId="0" fontId="15" fillId="0" borderId="0" xfId="0" applyFont="1" applyFill="1" applyBorder="1" applyAlignment="1" applyProtection="1">
      <alignment horizontal="left" vertical="top" wrapText="1"/>
      <protection hidden="1"/>
    </xf>
    <xf numFmtId="1" fontId="14" fillId="0" borderId="0" xfId="0" applyNumberFormat="1" applyFont="1" applyBorder="1" applyAlignment="1" applyProtection="1">
      <alignment horizontal="center" vertical="top" wrapText="1"/>
      <protection hidden="1"/>
    </xf>
    <xf numFmtId="0" fontId="47" fillId="0" borderId="0" xfId="0" applyFont="1" applyFill="1" applyBorder="1" applyAlignment="1" applyProtection="1">
      <alignment horizontal="left" vertical="top" wrapText="1"/>
      <protection hidden="1"/>
    </xf>
    <xf numFmtId="1" fontId="47" fillId="0" borderId="0" xfId="0" applyNumberFormat="1" applyFont="1" applyBorder="1" applyAlignment="1" applyProtection="1">
      <alignment horizontal="center" vertical="top" wrapText="1"/>
      <protection hidden="1"/>
    </xf>
    <xf numFmtId="0" fontId="47" fillId="0" borderId="68" xfId="0" applyFont="1" applyFill="1" applyBorder="1" applyAlignment="1">
      <alignment vertical="top" wrapText="1"/>
    </xf>
    <xf numFmtId="0" fontId="47" fillId="0" borderId="68" xfId="0" applyFont="1" applyBorder="1" applyAlignment="1">
      <alignment vertical="top" wrapText="1"/>
    </xf>
    <xf numFmtId="0" fontId="52" fillId="0" borderId="126" xfId="0" applyNumberFormat="1" applyFont="1" applyFill="1" applyBorder="1" applyAlignment="1">
      <alignment horizontal="left" vertical="top" wrapText="1"/>
    </xf>
    <xf numFmtId="0" fontId="14" fillId="0" borderId="14" xfId="0" applyFont="1" applyFill="1" applyBorder="1" applyAlignment="1">
      <alignment horizontal="left" vertical="top" wrapText="1"/>
    </xf>
    <xf numFmtId="1" fontId="14" fillId="8" borderId="100" xfId="0" applyNumberFormat="1" applyFont="1" applyFill="1" applyBorder="1" applyAlignment="1">
      <alignment horizontal="center" vertical="top" wrapText="1"/>
    </xf>
    <xf numFmtId="0" fontId="14" fillId="0" borderId="100" xfId="0" applyFont="1" applyFill="1" applyBorder="1" applyAlignment="1">
      <alignment horizontal="left" vertical="top" wrapText="1"/>
    </xf>
    <xf numFmtId="0" fontId="14" fillId="0" borderId="35" xfId="0" applyFont="1" applyFill="1" applyBorder="1" applyAlignment="1">
      <alignment horizontal="left" vertical="top" wrapText="1"/>
    </xf>
    <xf numFmtId="0" fontId="14" fillId="0" borderId="42" xfId="0" applyFont="1" applyFill="1" applyBorder="1" applyAlignment="1">
      <alignment horizontal="center" vertical="top" wrapText="1"/>
    </xf>
    <xf numFmtId="49" fontId="14" fillId="2" borderId="84" xfId="0" applyNumberFormat="1" applyFont="1" applyFill="1" applyBorder="1" applyAlignment="1">
      <alignment horizontal="center" vertical="top" wrapText="1"/>
    </xf>
    <xf numFmtId="0" fontId="14" fillId="2" borderId="85" xfId="0" applyFont="1" applyFill="1" applyBorder="1" applyAlignment="1">
      <alignment horizontal="center" vertical="top" wrapText="1"/>
    </xf>
    <xf numFmtId="0" fontId="14" fillId="2" borderId="58" xfId="0" applyNumberFormat="1" applyFont="1" applyFill="1" applyBorder="1" applyAlignment="1">
      <alignment horizontal="center" vertical="top" wrapText="1"/>
    </xf>
    <xf numFmtId="0" fontId="14" fillId="2" borderId="105" xfId="0" applyNumberFormat="1" applyFont="1" applyFill="1" applyBorder="1" applyAlignment="1">
      <alignment horizontal="center" vertical="top" wrapText="1"/>
    </xf>
    <xf numFmtId="0" fontId="14" fillId="2" borderId="111" xfId="0" applyNumberFormat="1" applyFont="1" applyFill="1" applyBorder="1" applyAlignment="1">
      <alignment horizontal="center" vertical="top" wrapText="1"/>
    </xf>
    <xf numFmtId="2" fontId="14" fillId="2" borderId="113" xfId="0" applyNumberFormat="1" applyFont="1" applyFill="1" applyBorder="1" applyAlignment="1">
      <alignment horizontal="center" vertical="top" wrapText="1"/>
    </xf>
    <xf numFmtId="0" fontId="14" fillId="0" borderId="29" xfId="0" applyFont="1" applyFill="1" applyBorder="1" applyAlignment="1">
      <alignment horizontal="left" vertical="top" wrapText="1"/>
    </xf>
    <xf numFmtId="2" fontId="14" fillId="2" borderId="84" xfId="0" applyNumberFormat="1" applyFont="1" applyFill="1" applyBorder="1" applyAlignment="1">
      <alignment horizontal="center" vertical="top" wrapText="1"/>
    </xf>
    <xf numFmtId="0" fontId="14" fillId="2" borderId="11" xfId="0" applyNumberFormat="1" applyFont="1" applyFill="1" applyBorder="1" applyAlignment="1">
      <alignment horizontal="center" vertical="top" wrapText="1"/>
    </xf>
    <xf numFmtId="0" fontId="14" fillId="2" borderId="3" xfId="0" applyNumberFormat="1" applyFont="1" applyFill="1" applyBorder="1" applyAlignment="1">
      <alignment horizontal="center" vertical="top" wrapText="1"/>
    </xf>
    <xf numFmtId="0" fontId="14" fillId="2" borderId="52" xfId="0" applyFont="1" applyFill="1" applyBorder="1" applyAlignment="1">
      <alignment horizontal="center" vertical="top" wrapText="1"/>
    </xf>
    <xf numFmtId="2" fontId="14" fillId="2" borderId="11" xfId="0" applyNumberFormat="1" applyFont="1" applyFill="1" applyBorder="1" applyAlignment="1">
      <alignment horizontal="center" vertical="top" wrapText="1"/>
    </xf>
    <xf numFmtId="2" fontId="14" fillId="2" borderId="55" xfId="0" applyNumberFormat="1" applyFont="1" applyFill="1" applyBorder="1" applyAlignment="1">
      <alignment horizontal="center" vertical="top" wrapText="1"/>
    </xf>
    <xf numFmtId="1" fontId="14" fillId="0" borderId="89" xfId="0" applyNumberFormat="1" applyFont="1" applyFill="1" applyBorder="1" applyAlignment="1">
      <alignment horizontal="left" vertical="top" wrapText="1"/>
    </xf>
    <xf numFmtId="1" fontId="14" fillId="0" borderId="82" xfId="0" applyNumberFormat="1" applyFont="1" applyFill="1" applyBorder="1" applyAlignment="1">
      <alignment horizontal="left" vertical="top" wrapText="1"/>
    </xf>
    <xf numFmtId="2" fontId="14" fillId="2" borderId="129" xfId="0" applyNumberFormat="1" applyFont="1" applyFill="1" applyBorder="1" applyAlignment="1">
      <alignment horizontal="center" vertical="top" wrapText="1"/>
    </xf>
    <xf numFmtId="0" fontId="14" fillId="0" borderId="60" xfId="0" applyFont="1" applyFill="1" applyBorder="1" applyAlignment="1">
      <alignment horizontal="left" vertical="top" wrapText="1"/>
    </xf>
    <xf numFmtId="0" fontId="14" fillId="0" borderId="45" xfId="0" applyFont="1" applyFill="1" applyBorder="1" applyAlignment="1">
      <alignment horizontal="center" vertical="top" wrapText="1"/>
    </xf>
    <xf numFmtId="1" fontId="14" fillId="2" borderId="49" xfId="0" applyNumberFormat="1" applyFont="1" applyFill="1" applyBorder="1" applyAlignment="1">
      <alignment horizontal="center" vertical="top" wrapText="1"/>
    </xf>
    <xf numFmtId="49" fontId="14" fillId="0" borderId="68" xfId="0" applyNumberFormat="1" applyFont="1" applyFill="1" applyBorder="1" applyAlignment="1">
      <alignment horizontal="left" vertical="top" wrapText="1"/>
    </xf>
    <xf numFmtId="49" fontId="14" fillId="0" borderId="11" xfId="0" applyNumberFormat="1" applyFont="1" applyFill="1" applyBorder="1" applyAlignment="1">
      <alignment horizontal="left" vertical="top" wrapText="1"/>
    </xf>
    <xf numFmtId="49" fontId="14" fillId="0" borderId="3" xfId="0" applyNumberFormat="1" applyFont="1" applyFill="1" applyBorder="1" applyAlignment="1">
      <alignment horizontal="center" vertical="top" wrapText="1"/>
    </xf>
    <xf numFmtId="49" fontId="14" fillId="0" borderId="82" xfId="0" applyNumberFormat="1" applyFont="1" applyFill="1" applyBorder="1" applyAlignment="1">
      <alignment horizontal="left" vertical="top" wrapText="1"/>
    </xf>
    <xf numFmtId="49" fontId="14" fillId="0" borderId="1" xfId="0" applyNumberFormat="1" applyFont="1" applyFill="1" applyBorder="1" applyAlignment="1">
      <alignment horizontal="center" vertical="top" wrapText="1"/>
    </xf>
    <xf numFmtId="49" fontId="14" fillId="0" borderId="74" xfId="0" applyNumberFormat="1" applyFont="1" applyFill="1" applyBorder="1" applyAlignment="1">
      <alignment horizontal="left" vertical="top" wrapText="1"/>
    </xf>
    <xf numFmtId="49" fontId="14" fillId="0" borderId="73" xfId="0" applyNumberFormat="1" applyFont="1" applyFill="1" applyBorder="1" applyAlignment="1">
      <alignment horizontal="center" vertical="top" wrapText="1"/>
    </xf>
    <xf numFmtId="0" fontId="14" fillId="0" borderId="58" xfId="0" applyFont="1" applyFill="1" applyBorder="1" applyAlignment="1">
      <alignment horizontal="left" vertical="top" wrapText="1"/>
    </xf>
    <xf numFmtId="0" fontId="14" fillId="0" borderId="51" xfId="0" applyFont="1" applyFill="1" applyBorder="1" applyAlignment="1">
      <alignment horizontal="center" vertical="top" wrapText="1"/>
    </xf>
    <xf numFmtId="2" fontId="14" fillId="3" borderId="31" xfId="0" applyNumberFormat="1" applyFont="1" applyFill="1" applyBorder="1" applyAlignment="1">
      <alignment horizontal="center" vertical="top" wrapText="1"/>
    </xf>
    <xf numFmtId="1" fontId="14" fillId="0" borderId="10" xfId="0" applyNumberFormat="1" applyFont="1" applyFill="1" applyBorder="1" applyAlignment="1">
      <alignment horizontal="left" vertical="top" wrapText="1"/>
    </xf>
    <xf numFmtId="2" fontId="14" fillId="0" borderId="53" xfId="0" applyNumberFormat="1" applyFont="1" applyFill="1" applyBorder="1" applyAlignment="1">
      <alignment horizontal="center" vertical="top" wrapText="1"/>
    </xf>
    <xf numFmtId="0" fontId="14" fillId="2" borderId="53" xfId="0" applyFont="1" applyFill="1" applyBorder="1" applyAlignment="1">
      <alignment horizontal="center" vertical="top" wrapText="1"/>
    </xf>
    <xf numFmtId="0" fontId="14" fillId="0" borderId="46" xfId="0" applyFont="1" applyFill="1" applyBorder="1" applyAlignment="1">
      <alignment horizontal="left" vertical="top" wrapText="1"/>
    </xf>
    <xf numFmtId="2" fontId="14" fillId="0" borderId="38" xfId="0" applyNumberFormat="1" applyFont="1" applyFill="1" applyBorder="1" applyAlignment="1">
      <alignment horizontal="center" vertical="top" wrapText="1"/>
    </xf>
    <xf numFmtId="2" fontId="14" fillId="10" borderId="46" xfId="0" applyNumberFormat="1" applyFont="1" applyFill="1" applyBorder="1" applyAlignment="1">
      <alignment horizontal="center" vertical="top" wrapText="1"/>
    </xf>
    <xf numFmtId="2" fontId="14" fillId="0" borderId="39" xfId="0" applyNumberFormat="1" applyFont="1" applyFill="1" applyBorder="1" applyAlignment="1">
      <alignment horizontal="center" vertical="top" wrapText="1"/>
    </xf>
    <xf numFmtId="49" fontId="14" fillId="0" borderId="59" xfId="0" applyNumberFormat="1" applyFont="1" applyBorder="1" applyAlignment="1">
      <alignment vertical="top" wrapText="1"/>
    </xf>
    <xf numFmtId="49" fontId="14" fillId="0" borderId="0" xfId="0" applyNumberFormat="1" applyFont="1" applyAlignment="1">
      <alignment vertical="top" wrapText="1"/>
    </xf>
    <xf numFmtId="49" fontId="14" fillId="0" borderId="67" xfId="0" applyNumberFormat="1" applyFont="1" applyBorder="1" applyAlignment="1">
      <alignment vertical="top" wrapText="1"/>
    </xf>
    <xf numFmtId="2" fontId="14" fillId="2" borderId="38" xfId="0" applyNumberFormat="1" applyFont="1" applyFill="1" applyBorder="1" applyAlignment="1" applyProtection="1">
      <alignment horizontal="center" vertical="top" wrapText="1"/>
    </xf>
    <xf numFmtId="0" fontId="14" fillId="0" borderId="0" xfId="0" applyNumberFormat="1" applyFont="1" applyFill="1" applyAlignment="1">
      <alignment vertical="top" wrapText="1"/>
    </xf>
    <xf numFmtId="2" fontId="14" fillId="0" borderId="67" xfId="0" applyNumberFormat="1" applyFont="1" applyFill="1" applyBorder="1" applyAlignment="1" applyProtection="1">
      <alignment vertical="top" wrapText="1"/>
    </xf>
    <xf numFmtId="0" fontId="14" fillId="0" borderId="0" xfId="0" applyNumberFormat="1" applyFont="1" applyAlignment="1" applyProtection="1">
      <alignment vertical="top" wrapText="1"/>
      <protection hidden="1"/>
    </xf>
    <xf numFmtId="0" fontId="47" fillId="0" borderId="0" xfId="0" applyNumberFormat="1" applyFont="1" applyFill="1" applyBorder="1" applyAlignment="1" applyProtection="1">
      <alignment vertical="top" wrapText="1"/>
      <protection hidden="1"/>
    </xf>
    <xf numFmtId="0" fontId="47" fillId="0" borderId="0" xfId="0" applyFont="1" applyFill="1" applyBorder="1" applyAlignment="1" applyProtection="1">
      <alignment horizontal="right" vertical="top"/>
      <protection hidden="1"/>
    </xf>
    <xf numFmtId="0" fontId="14" fillId="0" borderId="0" xfId="0" applyFont="1" applyFill="1" applyBorder="1" applyAlignment="1" applyProtection="1">
      <alignment horizontal="right" vertical="top" wrapText="1"/>
      <protection hidden="1"/>
    </xf>
    <xf numFmtId="1" fontId="14" fillId="0" borderId="0" xfId="0" applyNumberFormat="1" applyFont="1" applyFill="1" applyBorder="1" applyAlignment="1" applyProtection="1">
      <alignment horizontal="center" vertical="top" wrapText="1"/>
      <protection hidden="1"/>
    </xf>
    <xf numFmtId="49" fontId="14" fillId="0" borderId="0" xfId="0" applyNumberFormat="1" applyFont="1" applyAlignment="1">
      <alignment horizontal="left" vertical="top" wrapText="1"/>
    </xf>
    <xf numFmtId="49" fontId="14" fillId="0" borderId="116" xfId="0" applyNumberFormat="1" applyFont="1" applyBorder="1" applyAlignment="1">
      <alignment horizontal="left" vertical="top" wrapText="1"/>
    </xf>
    <xf numFmtId="0" fontId="15" fillId="8" borderId="0" xfId="0" applyFont="1" applyFill="1" applyAlignment="1">
      <alignment horizontal="center" vertical="top" wrapText="1"/>
    </xf>
    <xf numFmtId="0" fontId="72" fillId="14" borderId="70" xfId="0" applyFont="1" applyFill="1" applyBorder="1" applyAlignment="1" applyProtection="1">
      <alignment horizontal="center" vertical="top" wrapText="1"/>
      <protection locked="0"/>
    </xf>
    <xf numFmtId="0" fontId="72" fillId="0" borderId="104" xfId="0" applyFont="1" applyBorder="1" applyAlignment="1" applyProtection="1">
      <alignment horizontal="center" vertical="top"/>
      <protection locked="0"/>
    </xf>
    <xf numFmtId="0" fontId="14" fillId="0" borderId="28" xfId="0" applyFont="1" applyFill="1" applyBorder="1" applyAlignment="1" applyProtection="1">
      <alignment vertical="top" wrapText="1"/>
    </xf>
    <xf numFmtId="49" fontId="14" fillId="0" borderId="123" xfId="1" applyNumberFormat="1" applyFont="1" applyBorder="1" applyAlignment="1">
      <alignment horizontal="center" vertical="center" wrapText="1"/>
    </xf>
    <xf numFmtId="0" fontId="14" fillId="2" borderId="100" xfId="0" applyFont="1" applyFill="1" applyBorder="1" applyAlignment="1" applyProtection="1">
      <alignment horizontal="center" vertical="top" wrapText="1"/>
      <protection hidden="1"/>
    </xf>
    <xf numFmtId="2" fontId="14" fillId="2" borderId="104" xfId="0" applyNumberFormat="1" applyFont="1" applyFill="1" applyBorder="1" applyAlignment="1" applyProtection="1">
      <alignment horizontal="center" vertical="top" wrapText="1"/>
    </xf>
    <xf numFmtId="1" fontId="14" fillId="2" borderId="73" xfId="0" applyNumberFormat="1" applyFont="1" applyFill="1" applyBorder="1" applyAlignment="1" applyProtection="1">
      <alignment horizontal="center" vertical="top" wrapText="1"/>
      <protection hidden="1"/>
    </xf>
    <xf numFmtId="2" fontId="14" fillId="2" borderId="109" xfId="0" applyNumberFormat="1" applyFont="1" applyFill="1" applyBorder="1" applyAlignment="1" applyProtection="1">
      <alignment horizontal="center" vertical="top" wrapText="1"/>
    </xf>
    <xf numFmtId="2" fontId="14" fillId="2" borderId="42" xfId="0" applyNumberFormat="1" applyFont="1" applyFill="1" applyBorder="1" applyAlignment="1" applyProtection="1">
      <alignment horizontal="center" vertical="top" wrapText="1"/>
    </xf>
    <xf numFmtId="0" fontId="14" fillId="2" borderId="8" xfId="0" applyFont="1" applyFill="1" applyBorder="1" applyAlignment="1" applyProtection="1">
      <alignment horizontal="center" vertical="top" wrapText="1"/>
      <protection hidden="1"/>
    </xf>
    <xf numFmtId="1" fontId="14" fillId="2" borderId="1" xfId="0" applyNumberFormat="1" applyFont="1" applyFill="1" applyBorder="1" applyAlignment="1" applyProtection="1">
      <alignment horizontal="center" vertical="top" wrapText="1"/>
      <protection hidden="1"/>
    </xf>
    <xf numFmtId="0" fontId="14" fillId="2" borderId="2" xfId="0" applyFont="1" applyFill="1" applyBorder="1" applyAlignment="1" applyProtection="1">
      <alignment horizontal="center" vertical="top" wrapText="1"/>
      <protection hidden="1"/>
    </xf>
    <xf numFmtId="2" fontId="14" fillId="2" borderId="8" xfId="0" applyNumberFormat="1" applyFont="1" applyFill="1" applyBorder="1" applyAlignment="1" applyProtection="1">
      <alignment horizontal="center" vertical="top" wrapText="1"/>
    </xf>
    <xf numFmtId="2" fontId="14" fillId="2" borderId="7" xfId="0" applyNumberFormat="1" applyFont="1" applyFill="1" applyBorder="1" applyAlignment="1" applyProtection="1">
      <alignment horizontal="center" vertical="top" wrapText="1"/>
    </xf>
    <xf numFmtId="2" fontId="14" fillId="2" borderId="72" xfId="0" applyNumberFormat="1" applyFont="1" applyFill="1" applyBorder="1" applyAlignment="1" applyProtection="1">
      <alignment horizontal="center" vertical="top" wrapText="1"/>
    </xf>
    <xf numFmtId="1" fontId="14" fillId="2" borderId="86" xfId="0" applyNumberFormat="1" applyFont="1" applyFill="1" applyBorder="1" applyAlignment="1" applyProtection="1">
      <alignment horizontal="center" vertical="top" wrapText="1"/>
      <protection hidden="1"/>
    </xf>
    <xf numFmtId="2" fontId="14" fillId="3" borderId="30" xfId="0" applyNumberFormat="1" applyFont="1" applyFill="1" applyBorder="1" applyAlignment="1" applyProtection="1">
      <alignment horizontal="center" vertical="top" wrapText="1"/>
    </xf>
    <xf numFmtId="1" fontId="14" fillId="2" borderId="81" xfId="0" applyNumberFormat="1" applyFont="1" applyFill="1" applyBorder="1" applyAlignment="1" applyProtection="1">
      <alignment horizontal="center" vertical="top" wrapText="1"/>
      <protection hidden="1"/>
    </xf>
    <xf numFmtId="0" fontId="14" fillId="2" borderId="81" xfId="0" applyFont="1" applyFill="1" applyBorder="1" applyAlignment="1" applyProtection="1">
      <alignment horizontal="center" vertical="top" wrapText="1"/>
      <protection hidden="1"/>
    </xf>
    <xf numFmtId="0" fontId="14" fillId="2" borderId="86" xfId="0" applyFont="1" applyFill="1" applyBorder="1" applyAlignment="1">
      <alignment horizontal="center" vertical="top" wrapText="1"/>
    </xf>
    <xf numFmtId="2" fontId="14" fillId="2" borderId="52" xfId="0" applyNumberFormat="1" applyFont="1" applyFill="1" applyBorder="1" applyAlignment="1" applyProtection="1">
      <alignment horizontal="center" vertical="top" wrapText="1"/>
      <protection hidden="1"/>
    </xf>
    <xf numFmtId="2" fontId="14" fillId="2" borderId="13" xfId="0" applyNumberFormat="1" applyFont="1" applyFill="1" applyBorder="1" applyAlignment="1" applyProtection="1">
      <alignment horizontal="center" vertical="top" wrapText="1"/>
    </xf>
    <xf numFmtId="0" fontId="14" fillId="2" borderId="52" xfId="0" applyFont="1" applyFill="1" applyBorder="1" applyAlignment="1" applyProtection="1">
      <alignment horizontal="center" vertical="top" wrapText="1"/>
      <protection hidden="1"/>
    </xf>
    <xf numFmtId="0" fontId="14" fillId="2" borderId="78" xfId="0" applyFont="1" applyFill="1" applyBorder="1" applyAlignment="1" applyProtection="1">
      <alignment horizontal="center" vertical="top" wrapText="1"/>
      <protection hidden="1"/>
    </xf>
    <xf numFmtId="1" fontId="14" fillId="2" borderId="51" xfId="0" applyNumberFormat="1" applyFont="1" applyFill="1" applyBorder="1" applyAlignment="1" applyProtection="1">
      <alignment horizontal="center" vertical="top" wrapText="1"/>
      <protection hidden="1"/>
    </xf>
    <xf numFmtId="0" fontId="14" fillId="0" borderId="4" xfId="0" applyFont="1" applyBorder="1" applyAlignment="1">
      <alignment vertical="top" wrapText="1"/>
    </xf>
    <xf numFmtId="49" fontId="14" fillId="0" borderId="82" xfId="0" applyNumberFormat="1" applyFont="1" applyBorder="1" applyAlignment="1">
      <alignment vertical="top" wrapText="1"/>
    </xf>
    <xf numFmtId="1" fontId="14" fillId="2" borderId="82" xfId="0" applyNumberFormat="1" applyFont="1" applyFill="1" applyBorder="1" applyAlignment="1" applyProtection="1">
      <alignment horizontal="center" vertical="top" wrapText="1"/>
      <protection hidden="1"/>
    </xf>
    <xf numFmtId="0" fontId="14" fillId="0" borderId="35" xfId="0" applyFont="1" applyBorder="1" applyAlignment="1">
      <alignment vertical="top" wrapText="1"/>
    </xf>
    <xf numFmtId="1" fontId="14" fillId="2" borderId="113" xfId="0" applyNumberFormat="1" applyFont="1" applyFill="1" applyBorder="1" applyAlignment="1" applyProtection="1">
      <alignment horizontal="center" vertical="top" wrapText="1"/>
      <protection hidden="1"/>
    </xf>
    <xf numFmtId="2" fontId="14" fillId="2" borderId="73" xfId="0" applyNumberFormat="1" applyFont="1" applyFill="1" applyBorder="1" applyAlignment="1" applyProtection="1">
      <alignment horizontal="center" vertical="top" wrapText="1"/>
    </xf>
    <xf numFmtId="0" fontId="18" fillId="0" borderId="0" xfId="0" applyFont="1">
      <alignment vertical="top"/>
    </xf>
    <xf numFmtId="2" fontId="14" fillId="2" borderId="96" xfId="0" applyNumberFormat="1" applyFont="1" applyFill="1" applyBorder="1" applyAlignment="1" applyProtection="1">
      <alignment horizontal="center" vertical="top" wrapText="1"/>
    </xf>
    <xf numFmtId="0" fontId="13" fillId="0" borderId="0" xfId="0" applyFont="1">
      <alignment vertical="top"/>
    </xf>
    <xf numFmtId="0" fontId="14" fillId="0" borderId="0" xfId="0" applyFont="1" applyBorder="1" applyAlignment="1" applyProtection="1">
      <alignment horizontal="center" vertical="top" wrapText="1"/>
      <protection hidden="1"/>
    </xf>
    <xf numFmtId="0" fontId="47" fillId="0" borderId="0" xfId="0" applyFont="1" applyFill="1" applyBorder="1" applyAlignment="1" applyProtection="1">
      <alignment wrapText="1"/>
      <protection hidden="1"/>
    </xf>
    <xf numFmtId="1" fontId="14" fillId="0" borderId="0" xfId="0" applyNumberFormat="1" applyFont="1" applyAlignment="1" applyProtection="1">
      <alignment horizontal="center" vertical="top" wrapText="1"/>
      <protection hidden="1"/>
    </xf>
    <xf numFmtId="0" fontId="14" fillId="0" borderId="0" xfId="0" applyFont="1" applyAlignment="1" applyProtection="1">
      <alignment horizontal="center" vertical="top" wrapText="1"/>
      <protection hidden="1"/>
    </xf>
    <xf numFmtId="1" fontId="18" fillId="0" borderId="0" xfId="0" applyNumberFormat="1" applyFont="1" applyFill="1" applyBorder="1" applyAlignment="1">
      <alignment horizontal="center" vertical="top"/>
    </xf>
    <xf numFmtId="0" fontId="14" fillId="0" borderId="101" xfId="0" applyFont="1" applyBorder="1" applyAlignment="1">
      <alignment horizontal="center" vertical="top" wrapText="1"/>
    </xf>
    <xf numFmtId="0" fontId="14" fillId="0" borderId="59" xfId="0" applyNumberFormat="1" applyFont="1" applyBorder="1" applyAlignment="1">
      <alignment vertical="top" wrapText="1"/>
    </xf>
    <xf numFmtId="0" fontId="47" fillId="0" borderId="0" xfId="0" applyFont="1" applyFill="1" applyBorder="1" applyAlignment="1" applyProtection="1">
      <alignment horizontal="center" vertical="top" wrapText="1"/>
      <protection hidden="1"/>
    </xf>
    <xf numFmtId="0" fontId="18" fillId="0" borderId="0" xfId="0" applyFont="1" applyAlignment="1">
      <alignment horizontal="center" vertical="top"/>
    </xf>
    <xf numFmtId="1" fontId="14" fillId="11" borderId="125" xfId="0" applyNumberFormat="1" applyFont="1" applyFill="1" applyBorder="1" applyAlignment="1" applyProtection="1">
      <alignment horizontal="left" vertical="top" wrapText="1"/>
      <protection hidden="1"/>
    </xf>
    <xf numFmtId="1" fontId="14" fillId="11" borderId="123" xfId="0" applyNumberFormat="1" applyFont="1" applyFill="1" applyBorder="1" applyAlignment="1" applyProtection="1">
      <alignment horizontal="left" vertical="top" wrapText="1"/>
      <protection hidden="1"/>
    </xf>
    <xf numFmtId="2" fontId="14" fillId="12" borderId="123" xfId="0" applyNumberFormat="1" applyFont="1" applyFill="1" applyBorder="1" applyAlignment="1">
      <alignment horizontal="center" vertical="top"/>
    </xf>
    <xf numFmtId="0" fontId="47" fillId="0" borderId="123" xfId="0" applyFont="1" applyFill="1" applyBorder="1" applyAlignment="1">
      <alignment horizontal="left" vertical="top"/>
    </xf>
    <xf numFmtId="1" fontId="14" fillId="0" borderId="124" xfId="0" applyNumberFormat="1" applyFont="1" applyFill="1" applyBorder="1" applyAlignment="1" applyProtection="1">
      <alignment horizontal="left" vertical="top" wrapText="1"/>
      <protection hidden="1"/>
    </xf>
    <xf numFmtId="2" fontId="14" fillId="23" borderId="61" xfId="0" applyNumberFormat="1" applyFont="1" applyFill="1" applyBorder="1" applyAlignment="1">
      <alignment horizontal="center" vertical="top" wrapText="1"/>
    </xf>
    <xf numFmtId="1" fontId="14" fillId="0" borderId="82" xfId="0" applyNumberFormat="1" applyFont="1" applyBorder="1" applyAlignment="1">
      <alignment vertical="top" wrapText="1"/>
    </xf>
    <xf numFmtId="1" fontId="14" fillId="0" borderId="101" xfId="0" applyNumberFormat="1" applyFont="1" applyFill="1" applyBorder="1" applyAlignment="1">
      <alignment vertical="top" wrapText="1"/>
    </xf>
    <xf numFmtId="1" fontId="14" fillId="0" borderId="105" xfId="0" applyNumberFormat="1" applyFont="1" applyFill="1" applyBorder="1" applyAlignment="1">
      <alignment vertical="top" wrapText="1"/>
    </xf>
    <xf numFmtId="1" fontId="14" fillId="0" borderId="101" xfId="0" applyNumberFormat="1" applyFont="1" applyFill="1" applyBorder="1" applyAlignment="1">
      <alignment horizontal="center" vertical="top" wrapText="1"/>
    </xf>
    <xf numFmtId="1" fontId="14" fillId="0" borderId="49" xfId="0" applyNumberFormat="1" applyFont="1" applyFill="1" applyBorder="1" applyAlignment="1">
      <alignment vertical="top" wrapText="1"/>
    </xf>
    <xf numFmtId="1" fontId="14" fillId="0" borderId="49" xfId="0" applyNumberFormat="1" applyFont="1" applyFill="1" applyBorder="1" applyAlignment="1">
      <alignment horizontal="center" vertical="top" wrapText="1"/>
    </xf>
    <xf numFmtId="0" fontId="14" fillId="0" borderId="90" xfId="0" applyFont="1" applyFill="1" applyBorder="1" applyAlignment="1">
      <alignment vertical="top" wrapText="1"/>
    </xf>
    <xf numFmtId="0" fontId="14" fillId="0" borderId="120" xfId="0" applyFont="1" applyFill="1" applyBorder="1" applyAlignment="1">
      <alignment vertical="top" wrapText="1"/>
    </xf>
    <xf numFmtId="0" fontId="14" fillId="0" borderId="35" xfId="0" applyFont="1" applyFill="1" applyBorder="1" applyAlignment="1">
      <alignment vertical="top" wrapText="1"/>
    </xf>
    <xf numFmtId="49" fontId="14" fillId="0" borderId="41" xfId="0" applyNumberFormat="1" applyFont="1" applyFill="1" applyBorder="1" applyAlignment="1">
      <alignment horizontal="left" vertical="top" wrapText="1"/>
    </xf>
    <xf numFmtId="2" fontId="14" fillId="23" borderId="4" xfId="0" applyNumberFormat="1" applyFont="1" applyFill="1" applyBorder="1" applyAlignment="1">
      <alignment horizontal="center" vertical="top" wrapText="1"/>
    </xf>
    <xf numFmtId="2" fontId="14" fillId="0" borderId="0" xfId="0" applyNumberFormat="1" applyFont="1" applyBorder="1" applyAlignment="1" applyProtection="1">
      <alignment horizontal="center" vertical="top" wrapText="1"/>
      <protection hidden="1"/>
    </xf>
    <xf numFmtId="2" fontId="14" fillId="0" borderId="0" xfId="0" applyNumberFormat="1" applyFont="1" applyBorder="1" applyAlignment="1" applyProtection="1">
      <alignment vertical="top" wrapText="1"/>
      <protection hidden="1"/>
    </xf>
    <xf numFmtId="0" fontId="18" fillId="0" borderId="0" xfId="0" applyFont="1" applyFill="1" applyBorder="1" applyAlignment="1">
      <alignment horizontal="center" vertical="top"/>
    </xf>
    <xf numFmtId="1" fontId="14" fillId="2" borderId="99" xfId="0" applyNumberFormat="1" applyFont="1" applyFill="1" applyBorder="1" applyAlignment="1" applyProtection="1">
      <alignment horizontal="center" vertical="top" wrapText="1"/>
    </xf>
    <xf numFmtId="1" fontId="14" fillId="0" borderId="0" xfId="0" applyNumberFormat="1" applyFont="1" applyFill="1" applyBorder="1" applyAlignment="1" applyProtection="1">
      <alignment vertical="top" wrapText="1"/>
    </xf>
    <xf numFmtId="1" fontId="14" fillId="0" borderId="10" xfId="0" applyNumberFormat="1" applyFont="1" applyFill="1" applyBorder="1" applyAlignment="1" applyProtection="1">
      <alignment vertical="top" wrapText="1"/>
    </xf>
    <xf numFmtId="1" fontId="14" fillId="2" borderId="46" xfId="0" applyNumberFormat="1" applyFont="1" applyFill="1" applyBorder="1" applyAlignment="1" applyProtection="1">
      <alignment horizontal="center" vertical="top" wrapText="1"/>
    </xf>
    <xf numFmtId="2" fontId="14" fillId="4" borderId="89" xfId="0" applyNumberFormat="1" applyFont="1" applyFill="1" applyBorder="1" applyAlignment="1">
      <alignment horizontal="center" vertical="top" wrapText="1"/>
    </xf>
    <xf numFmtId="1" fontId="14" fillId="0" borderId="0" xfId="0" applyNumberFormat="1" applyFont="1" applyAlignment="1" applyProtection="1">
      <alignment vertical="top" wrapText="1"/>
      <protection hidden="1"/>
    </xf>
    <xf numFmtId="0" fontId="47" fillId="0" borderId="0" xfId="0" applyFont="1" applyAlignment="1" applyProtection="1">
      <alignment vertical="top" wrapText="1"/>
      <protection hidden="1"/>
    </xf>
    <xf numFmtId="0" fontId="47" fillId="0" borderId="0" xfId="0" applyFont="1" applyFill="1" applyBorder="1" applyAlignment="1" applyProtection="1">
      <alignment horizontal="left" vertical="top"/>
      <protection hidden="1"/>
    </xf>
    <xf numFmtId="1" fontId="47" fillId="0" borderId="0" xfId="0" applyNumberFormat="1" applyFont="1" applyFill="1" applyBorder="1" applyAlignment="1" applyProtection="1">
      <alignment horizontal="center" vertical="top"/>
      <protection hidden="1"/>
    </xf>
    <xf numFmtId="0" fontId="47" fillId="0" borderId="0" xfId="0" applyFont="1" applyFill="1" applyBorder="1" applyAlignment="1" applyProtection="1">
      <alignment vertical="top"/>
      <protection hidden="1"/>
    </xf>
    <xf numFmtId="1" fontId="47" fillId="0" borderId="0" xfId="0" applyNumberFormat="1" applyFont="1" applyFill="1" applyBorder="1" applyAlignment="1" applyProtection="1">
      <alignment horizontal="center" vertical="top" wrapText="1"/>
      <protection hidden="1"/>
    </xf>
    <xf numFmtId="1" fontId="14" fillId="0" borderId="0" xfId="0" applyNumberFormat="1" applyFont="1" applyFill="1" applyBorder="1" applyAlignment="1" applyProtection="1">
      <alignment vertical="top" wrapText="1"/>
      <protection hidden="1"/>
    </xf>
    <xf numFmtId="1" fontId="72" fillId="8" borderId="100" xfId="0" applyNumberFormat="1" applyFont="1" applyFill="1" applyBorder="1" applyAlignment="1">
      <alignment horizontal="center" vertical="top" wrapText="1"/>
    </xf>
    <xf numFmtId="1" fontId="72" fillId="2" borderId="100" xfId="0" applyNumberFormat="1" applyFont="1" applyFill="1" applyBorder="1" applyAlignment="1">
      <alignment horizontal="center" vertical="top" wrapText="1"/>
    </xf>
    <xf numFmtId="1" fontId="72" fillId="8" borderId="43" xfId="0" applyNumberFormat="1" applyFont="1" applyFill="1" applyBorder="1" applyAlignment="1">
      <alignment horizontal="center" vertical="top" wrapText="1"/>
    </xf>
    <xf numFmtId="0" fontId="31" fillId="0" borderId="0" xfId="0" applyFont="1" applyBorder="1" applyAlignment="1">
      <alignment horizontal="left" vertical="top" wrapText="1"/>
    </xf>
    <xf numFmtId="0" fontId="47" fillId="0" borderId="0" xfId="0" applyFont="1" applyFill="1" applyBorder="1" applyAlignment="1" applyProtection="1">
      <alignment horizontal="right" wrapText="1"/>
      <protection hidden="1"/>
    </xf>
    <xf numFmtId="1" fontId="14" fillId="11" borderId="39" xfId="0" applyNumberFormat="1" applyFont="1" applyFill="1" applyBorder="1" applyAlignment="1" applyProtection="1">
      <alignment horizontal="left" vertical="top" wrapText="1"/>
      <protection hidden="1"/>
    </xf>
    <xf numFmtId="0" fontId="47" fillId="0" borderId="126" xfId="0" applyFont="1" applyBorder="1" applyAlignment="1">
      <alignment horizontal="left" vertical="top"/>
    </xf>
    <xf numFmtId="1" fontId="14" fillId="11" borderId="49" xfId="0" applyNumberFormat="1" applyFont="1" applyFill="1" applyBorder="1" applyAlignment="1" applyProtection="1">
      <alignment horizontal="left" vertical="top" wrapText="1"/>
      <protection hidden="1"/>
    </xf>
    <xf numFmtId="1" fontId="72" fillId="2" borderId="45" xfId="0" applyNumberFormat="1" applyFont="1" applyFill="1" applyBorder="1" applyAlignment="1" applyProtection="1">
      <alignment horizontal="center" vertical="top" wrapText="1"/>
      <protection hidden="1"/>
    </xf>
    <xf numFmtId="0" fontId="72" fillId="2" borderId="45" xfId="0" applyFont="1" applyFill="1" applyBorder="1" applyAlignment="1" applyProtection="1">
      <alignment horizontal="center" vertical="top" wrapText="1"/>
      <protection hidden="1"/>
    </xf>
    <xf numFmtId="2" fontId="72" fillId="12" borderId="53" xfId="0" applyNumberFormat="1" applyFont="1" applyFill="1" applyBorder="1" applyAlignment="1">
      <alignment horizontal="center" vertical="top"/>
    </xf>
    <xf numFmtId="0" fontId="47" fillId="0" borderId="40" xfId="0" applyFont="1" applyBorder="1" applyAlignment="1">
      <alignment horizontal="left" vertical="top"/>
    </xf>
    <xf numFmtId="0" fontId="53" fillId="0" borderId="0" xfId="0" applyFont="1" applyFill="1" applyBorder="1" applyAlignment="1" applyProtection="1">
      <alignment wrapText="1"/>
      <protection hidden="1"/>
    </xf>
    <xf numFmtId="0" fontId="47" fillId="0" borderId="0" xfId="0" applyFont="1" applyFill="1" applyBorder="1" applyAlignment="1" applyProtection="1">
      <alignment horizontal="left" wrapText="1"/>
      <protection hidden="1"/>
    </xf>
    <xf numFmtId="0" fontId="53" fillId="0" borderId="0" xfId="0" applyFont="1" applyFill="1" applyBorder="1" applyAlignment="1" applyProtection="1">
      <alignment horizontal="right" wrapText="1"/>
      <protection hidden="1"/>
    </xf>
    <xf numFmtId="0" fontId="14" fillId="0" borderId="0" xfId="0" applyNumberFormat="1" applyFont="1" applyBorder="1" applyAlignment="1">
      <alignment horizontal="center" vertical="top" wrapText="1"/>
    </xf>
    <xf numFmtId="2" fontId="47" fillId="0" borderId="0" xfId="0" applyNumberFormat="1" applyFont="1" applyFill="1" applyBorder="1" applyAlignment="1" applyProtection="1">
      <alignment vertical="top"/>
      <protection hidden="1"/>
    </xf>
    <xf numFmtId="2" fontId="47" fillId="0" borderId="67" xfId="0" applyNumberFormat="1" applyFont="1" applyFill="1" applyBorder="1" applyAlignment="1" applyProtection="1">
      <alignment vertical="top"/>
      <protection hidden="1"/>
    </xf>
    <xf numFmtId="0" fontId="14" fillId="0" borderId="0" xfId="0" applyFont="1" applyAlignment="1" applyProtection="1">
      <alignment vertical="top"/>
      <protection hidden="1"/>
    </xf>
    <xf numFmtId="0" fontId="47" fillId="0" borderId="0" xfId="0" applyFont="1" applyFill="1" applyBorder="1" applyAlignment="1" applyProtection="1">
      <alignment horizontal="right"/>
      <protection hidden="1"/>
    </xf>
    <xf numFmtId="0" fontId="47" fillId="0" borderId="0" xfId="0" applyFont="1" applyFill="1" applyBorder="1" applyAlignment="1" applyProtection="1">
      <alignment horizontal="left"/>
      <protection hidden="1"/>
    </xf>
    <xf numFmtId="2" fontId="47" fillId="0" borderId="0" xfId="0" applyNumberFormat="1" applyFont="1" applyFill="1" applyBorder="1" applyAlignment="1" applyProtection="1">
      <alignment horizontal="center" vertical="top"/>
      <protection hidden="1"/>
    </xf>
    <xf numFmtId="2" fontId="14" fillId="0" borderId="0" xfId="0" applyNumberFormat="1" applyFont="1" applyFill="1" applyBorder="1" applyAlignment="1" applyProtection="1">
      <alignment horizontal="center" vertical="top"/>
      <protection hidden="1"/>
    </xf>
    <xf numFmtId="0" fontId="14" fillId="0" borderId="0" xfId="0" applyFont="1" applyBorder="1" applyAlignment="1" applyProtection="1">
      <alignment vertical="top"/>
      <protection hidden="1"/>
    </xf>
    <xf numFmtId="1" fontId="14" fillId="0" borderId="0" xfId="0" applyNumberFormat="1" applyFont="1" applyFill="1" applyBorder="1" applyAlignment="1" applyProtection="1">
      <alignment horizontal="center" vertical="top"/>
      <protection hidden="1"/>
    </xf>
    <xf numFmtId="0" fontId="18" fillId="0" borderId="0" xfId="0" applyFont="1" applyFill="1" applyBorder="1" applyAlignment="1"/>
    <xf numFmtId="2" fontId="47" fillId="0" borderId="73" xfId="0" applyNumberFormat="1" applyFont="1" applyBorder="1" applyAlignment="1">
      <alignment horizontal="center" vertical="top"/>
    </xf>
    <xf numFmtId="0" fontId="47" fillId="0" borderId="101" xfId="0" applyFont="1" applyFill="1" applyBorder="1" applyAlignment="1">
      <alignment vertical="top" wrapText="1"/>
    </xf>
    <xf numFmtId="0" fontId="47" fillId="0" borderId="101" xfId="0" applyFont="1" applyFill="1" applyBorder="1" applyAlignment="1">
      <alignment horizontal="center" vertical="top" wrapText="1"/>
    </xf>
    <xf numFmtId="0" fontId="47" fillId="0" borderId="105" xfId="0" applyFont="1" applyFill="1" applyBorder="1" applyAlignment="1">
      <alignment vertical="top" wrapText="1"/>
    </xf>
    <xf numFmtId="0" fontId="47" fillId="0" borderId="44" xfId="0" applyFont="1" applyFill="1" applyBorder="1" applyAlignment="1">
      <alignment vertical="top" wrapText="1"/>
    </xf>
    <xf numFmtId="0" fontId="14" fillId="0" borderId="0" xfId="0" applyFont="1" applyFill="1" applyAlignment="1" applyProtection="1">
      <alignment vertical="top" wrapText="1"/>
      <protection hidden="1"/>
    </xf>
    <xf numFmtId="0" fontId="53" fillId="0" borderId="0" xfId="0" applyFont="1" applyFill="1" applyBorder="1" applyAlignment="1" applyProtection="1">
      <protection hidden="1"/>
    </xf>
    <xf numFmtId="0" fontId="53" fillId="0" borderId="0" xfId="0" applyFont="1" applyFill="1" applyBorder="1" applyAlignment="1" applyProtection="1">
      <alignment horizontal="right"/>
      <protection hidden="1"/>
    </xf>
    <xf numFmtId="0" fontId="47" fillId="0" borderId="0" xfId="0" applyFont="1" applyFill="1" applyBorder="1" applyAlignment="1" applyProtection="1">
      <protection hidden="1"/>
    </xf>
    <xf numFmtId="0" fontId="18" fillId="0" borderId="0" xfId="0" applyFont="1" applyBorder="1" applyAlignment="1"/>
    <xf numFmtId="0" fontId="14" fillId="0" borderId="0" xfId="0" applyFont="1" applyFill="1" applyAlignment="1">
      <alignment wrapText="1"/>
    </xf>
    <xf numFmtId="2" fontId="14" fillId="2" borderId="53" xfId="0" applyNumberFormat="1" applyFont="1" applyFill="1" applyBorder="1" applyAlignment="1">
      <alignment horizontal="center" vertical="top"/>
    </xf>
    <xf numFmtId="2" fontId="14" fillId="0" borderId="4" xfId="0" applyNumberFormat="1" applyFont="1" applyFill="1" applyBorder="1" applyAlignment="1">
      <alignment vertical="top" wrapText="1"/>
    </xf>
    <xf numFmtId="1" fontId="14" fillId="0" borderId="114" xfId="0" applyNumberFormat="1" applyFont="1" applyFill="1" applyBorder="1" applyAlignment="1">
      <alignment horizontal="center" vertical="top" wrapText="1"/>
    </xf>
    <xf numFmtId="0" fontId="14" fillId="0" borderId="1" xfId="0" applyFont="1" applyFill="1" applyBorder="1" applyAlignment="1">
      <alignment wrapText="1"/>
    </xf>
    <xf numFmtId="1" fontId="14" fillId="0" borderId="1" xfId="0" applyNumberFormat="1" applyFont="1" applyFill="1" applyBorder="1" applyAlignment="1">
      <alignment horizontal="center" vertical="top" wrapText="1"/>
    </xf>
    <xf numFmtId="1" fontId="14" fillId="2" borderId="96" xfId="0" applyNumberFormat="1" applyFont="1" applyFill="1" applyBorder="1" applyAlignment="1">
      <alignment horizontal="center" vertical="top"/>
    </xf>
    <xf numFmtId="1" fontId="14" fillId="2" borderId="53" xfId="0" applyNumberFormat="1" applyFont="1" applyFill="1" applyBorder="1" applyAlignment="1">
      <alignment horizontal="center" vertical="top"/>
    </xf>
    <xf numFmtId="2" fontId="14" fillId="0" borderId="13" xfId="0" applyNumberFormat="1" applyFont="1" applyFill="1" applyBorder="1" applyAlignment="1">
      <alignment vertical="top" wrapText="1"/>
    </xf>
    <xf numFmtId="2" fontId="14" fillId="0" borderId="26" xfId="0" applyNumberFormat="1" applyFont="1" applyFill="1" applyBorder="1" applyAlignment="1">
      <alignment vertical="top" wrapText="1"/>
    </xf>
    <xf numFmtId="2" fontId="14" fillId="0" borderId="12" xfId="0" applyNumberFormat="1" applyFont="1" applyFill="1" applyBorder="1" applyAlignment="1">
      <alignment vertical="top" wrapText="1"/>
    </xf>
    <xf numFmtId="2" fontId="14" fillId="3" borderId="57" xfId="0" applyNumberFormat="1" applyFont="1" applyFill="1" applyBorder="1" applyAlignment="1">
      <alignment horizontal="center" vertical="top"/>
    </xf>
    <xf numFmtId="2" fontId="14" fillId="0" borderId="116" xfId="0" applyNumberFormat="1" applyFont="1" applyFill="1" applyBorder="1" applyAlignment="1">
      <alignment vertical="top" wrapText="1"/>
    </xf>
    <xf numFmtId="2" fontId="14" fillId="0" borderId="41" xfId="0" applyNumberFormat="1" applyFont="1" applyFill="1" applyBorder="1" applyAlignment="1">
      <alignment vertical="top" wrapText="1"/>
    </xf>
    <xf numFmtId="2" fontId="14" fillId="0" borderId="101" xfId="0" applyNumberFormat="1" applyFont="1" applyFill="1" applyBorder="1" applyAlignment="1">
      <alignment vertical="top" wrapText="1"/>
    </xf>
    <xf numFmtId="2" fontId="14" fillId="0" borderId="105" xfId="0" applyNumberFormat="1" applyFont="1" applyFill="1" applyBorder="1" applyAlignment="1">
      <alignment vertical="top" wrapText="1"/>
    </xf>
    <xf numFmtId="2" fontId="14" fillId="0" borderId="44" xfId="0" applyNumberFormat="1" applyFont="1" applyFill="1" applyBorder="1" applyAlignment="1">
      <alignment vertical="top" wrapText="1"/>
    </xf>
    <xf numFmtId="1" fontId="14" fillId="0" borderId="42" xfId="0" applyNumberFormat="1" applyFont="1" applyFill="1" applyBorder="1" applyAlignment="1">
      <alignment horizontal="center" vertical="top" wrapText="1"/>
    </xf>
    <xf numFmtId="2" fontId="14" fillId="0" borderId="30" xfId="0" applyNumberFormat="1" applyFont="1" applyBorder="1" applyAlignment="1">
      <alignment vertical="top" wrapText="1"/>
    </xf>
    <xf numFmtId="2" fontId="14" fillId="0" borderId="4" xfId="0" applyNumberFormat="1" applyFont="1" applyBorder="1" applyAlignment="1">
      <alignment vertical="top" wrapText="1"/>
    </xf>
    <xf numFmtId="2" fontId="14" fillId="0" borderId="41" xfId="0" applyNumberFormat="1" applyFont="1" applyBorder="1" applyAlignment="1">
      <alignment vertical="top" wrapText="1"/>
    </xf>
    <xf numFmtId="2" fontId="14" fillId="0" borderId="101" xfId="0" applyNumberFormat="1" applyFont="1" applyBorder="1" applyAlignment="1">
      <alignment vertical="top" wrapText="1"/>
    </xf>
    <xf numFmtId="2" fontId="14" fillId="0" borderId="105" xfId="0" applyNumberFormat="1" applyFont="1" applyBorder="1" applyAlignment="1">
      <alignment vertical="top" wrapText="1"/>
    </xf>
    <xf numFmtId="2" fontId="14" fillId="0" borderId="111" xfId="0" applyNumberFormat="1" applyFont="1" applyBorder="1" applyAlignment="1">
      <alignment vertical="top" wrapText="1"/>
    </xf>
    <xf numFmtId="2" fontId="14" fillId="11" borderId="116" xfId="0" applyNumberFormat="1" applyFont="1" applyFill="1" applyBorder="1" applyAlignment="1">
      <alignment horizontal="left" vertical="top" wrapText="1"/>
    </xf>
    <xf numFmtId="2" fontId="14" fillId="11" borderId="49" xfId="0" applyNumberFormat="1" applyFont="1" applyFill="1" applyBorder="1" applyAlignment="1">
      <alignment horizontal="left" vertical="top" wrapText="1"/>
    </xf>
    <xf numFmtId="1" fontId="14" fillId="11" borderId="43" xfId="0" applyNumberFormat="1" applyFont="1" applyFill="1" applyBorder="1" applyAlignment="1">
      <alignment horizontal="center" vertical="top" wrapText="1"/>
    </xf>
    <xf numFmtId="0" fontId="14" fillId="0" borderId="67" xfId="0" applyNumberFormat="1" applyFont="1" applyBorder="1" applyAlignment="1">
      <alignment vertical="top" wrapText="1"/>
    </xf>
    <xf numFmtId="1" fontId="14" fillId="11" borderId="126" xfId="0" applyNumberFormat="1" applyFont="1" applyFill="1" applyBorder="1" applyAlignment="1" applyProtection="1">
      <alignment vertical="top" wrapText="1"/>
      <protection hidden="1"/>
    </xf>
    <xf numFmtId="0" fontId="14" fillId="0" borderId="30" xfId="0" applyFont="1" applyFill="1" applyBorder="1" applyAlignment="1">
      <alignment vertical="top"/>
    </xf>
    <xf numFmtId="0" fontId="47" fillId="0" borderId="126" xfId="0" applyFont="1" applyBorder="1" applyAlignment="1">
      <alignment horizontal="left" vertical="top" wrapText="1"/>
    </xf>
    <xf numFmtId="2" fontId="14" fillId="2" borderId="113" xfId="0" applyNumberFormat="1" applyFont="1" applyFill="1" applyBorder="1" applyAlignment="1">
      <alignment horizontal="center" vertical="top"/>
    </xf>
    <xf numFmtId="2" fontId="14" fillId="2" borderId="78" xfId="0" applyNumberFormat="1" applyFont="1" applyFill="1" applyBorder="1" applyAlignment="1">
      <alignment horizontal="center" vertical="top"/>
    </xf>
    <xf numFmtId="49" fontId="14" fillId="0" borderId="101" xfId="0" applyNumberFormat="1" applyFont="1" applyBorder="1" applyAlignment="1">
      <alignment horizontal="left" vertical="top" wrapText="1"/>
    </xf>
    <xf numFmtId="49" fontId="14" fillId="0" borderId="100" xfId="0" applyNumberFormat="1" applyFont="1" applyBorder="1" applyAlignment="1">
      <alignment horizontal="center" vertical="top" wrapText="1"/>
    </xf>
    <xf numFmtId="49" fontId="14" fillId="0" borderId="105" xfId="0" applyNumberFormat="1" applyFont="1" applyBorder="1" applyAlignment="1">
      <alignment horizontal="left" vertical="top" wrapText="1"/>
    </xf>
    <xf numFmtId="49" fontId="14" fillId="0" borderId="43" xfId="0" applyNumberFormat="1" applyFont="1" applyBorder="1" applyAlignment="1">
      <alignment horizontal="center" vertical="top" wrapText="1"/>
    </xf>
    <xf numFmtId="1" fontId="14" fillId="0" borderId="0" xfId="0" applyNumberFormat="1" applyFont="1" applyBorder="1" applyAlignment="1">
      <alignment vertical="top"/>
    </xf>
    <xf numFmtId="1" fontId="18" fillId="0" borderId="0" xfId="0" applyNumberFormat="1" applyFont="1" applyBorder="1" applyAlignment="1">
      <alignment horizontal="left" vertical="top"/>
    </xf>
    <xf numFmtId="2" fontId="14" fillId="2" borderId="124" xfId="0" applyNumberFormat="1" applyFont="1" applyFill="1" applyBorder="1" applyAlignment="1" applyProtection="1">
      <alignment horizontal="center" vertical="top" wrapText="1"/>
    </xf>
    <xf numFmtId="0" fontId="14" fillId="0" borderId="0" xfId="0" applyNumberFormat="1" applyFont="1" applyFill="1" applyAlignment="1" applyProtection="1">
      <alignment vertical="top" wrapText="1"/>
      <protection hidden="1"/>
    </xf>
    <xf numFmtId="0" fontId="14" fillId="0" borderId="0" xfId="0" applyFont="1" applyBorder="1" applyAlignment="1" applyProtection="1">
      <alignment horizontal="right" vertical="top" wrapText="1"/>
      <protection hidden="1"/>
    </xf>
    <xf numFmtId="0" fontId="14" fillId="0" borderId="0" xfId="0" applyFont="1" applyFill="1" applyBorder="1" applyAlignment="1" applyProtection="1">
      <alignment horizontal="center" vertical="top" wrapText="1"/>
      <protection hidden="1"/>
    </xf>
    <xf numFmtId="0" fontId="18" fillId="0" borderId="0" xfId="0" applyFont="1" applyBorder="1" applyAlignment="1" applyProtection="1">
      <alignment horizontal="right" vertical="top"/>
      <protection hidden="1"/>
    </xf>
    <xf numFmtId="0" fontId="14" fillId="0" borderId="0" xfId="0" applyFont="1" applyAlignment="1" applyProtection="1">
      <alignment horizontal="left" vertical="top" wrapText="1"/>
      <protection hidden="1"/>
    </xf>
    <xf numFmtId="2" fontId="47" fillId="12" borderId="47" xfId="0" applyNumberFormat="1" applyFont="1" applyFill="1" applyBorder="1" applyAlignment="1">
      <alignment horizontal="center" vertical="top"/>
    </xf>
    <xf numFmtId="2" fontId="14" fillId="2" borderId="0" xfId="0" applyNumberFormat="1" applyFont="1" applyFill="1" applyBorder="1" applyAlignment="1">
      <alignment horizontal="center" vertical="top" wrapText="1"/>
    </xf>
    <xf numFmtId="2" fontId="14" fillId="0" borderId="30" xfId="0" applyNumberFormat="1" applyFont="1" applyBorder="1" applyAlignment="1">
      <alignment horizontal="left" vertical="top" wrapText="1"/>
    </xf>
    <xf numFmtId="2" fontId="14" fillId="0" borderId="116" xfId="0" applyNumberFormat="1" applyFont="1" applyFill="1" applyBorder="1" applyAlignment="1">
      <alignment horizontal="left" vertical="top" wrapText="1"/>
    </xf>
    <xf numFmtId="1" fontId="49" fillId="22" borderId="130" xfId="0" applyNumberFormat="1" applyFont="1" applyFill="1" applyBorder="1" applyAlignment="1">
      <alignment horizontal="center" wrapText="1"/>
    </xf>
    <xf numFmtId="0" fontId="47" fillId="0" borderId="130" xfId="0" applyFont="1" applyFill="1" applyBorder="1" applyAlignment="1">
      <alignment horizontal="left" vertical="top" wrapText="1"/>
    </xf>
    <xf numFmtId="0" fontId="47" fillId="0" borderId="130" xfId="0" applyFont="1" applyFill="1" applyBorder="1" applyAlignment="1">
      <alignment vertical="top" wrapText="1"/>
    </xf>
    <xf numFmtId="0" fontId="47" fillId="0" borderId="130" xfId="12" applyFont="1" applyFill="1" applyBorder="1" applyAlignment="1">
      <alignment horizontal="left" vertical="top" wrapText="1"/>
    </xf>
    <xf numFmtId="0" fontId="95" fillId="0" borderId="130" xfId="0" applyFont="1" applyFill="1" applyBorder="1" applyAlignment="1">
      <alignment vertical="top" wrapText="1"/>
    </xf>
    <xf numFmtId="0" fontId="47" fillId="0" borderId="132" xfId="1" applyFont="1" applyFill="1" applyBorder="1" applyAlignment="1">
      <alignment horizontal="left" vertical="top" wrapText="1"/>
    </xf>
    <xf numFmtId="0" fontId="15" fillId="14" borderId="26" xfId="0" applyFont="1" applyFill="1" applyBorder="1" applyAlignment="1" applyProtection="1">
      <alignment horizontal="center" vertical="top" wrapText="1"/>
      <protection locked="0"/>
    </xf>
    <xf numFmtId="0" fontId="81" fillId="0" borderId="123" xfId="0" applyFont="1" applyBorder="1" applyAlignment="1" applyProtection="1">
      <alignment vertical="top" wrapText="1"/>
      <protection locked="0"/>
    </xf>
    <xf numFmtId="0" fontId="15" fillId="0" borderId="47" xfId="0" applyFont="1" applyBorder="1" applyAlignment="1" applyProtection="1">
      <alignment vertical="top"/>
      <protection locked="0"/>
    </xf>
    <xf numFmtId="0" fontId="15" fillId="0" borderId="0" xfId="0" applyFont="1" applyBorder="1" applyAlignment="1" applyProtection="1">
      <alignment vertical="top"/>
      <protection locked="0"/>
    </xf>
    <xf numFmtId="2" fontId="57" fillId="0" borderId="133" xfId="0" applyNumberFormat="1" applyFont="1" applyFill="1" applyBorder="1">
      <alignment vertical="top"/>
    </xf>
    <xf numFmtId="2" fontId="57" fillId="0" borderId="133" xfId="0" applyNumberFormat="1" applyFont="1" applyBorder="1">
      <alignment vertical="top"/>
    </xf>
    <xf numFmtId="0" fontId="90" fillId="4" borderId="133" xfId="1" applyNumberFormat="1" applyFont="1" applyFill="1" applyBorder="1" applyAlignment="1">
      <alignment vertical="center"/>
    </xf>
    <xf numFmtId="2" fontId="57" fillId="0" borderId="133" xfId="1" applyNumberFormat="1" applyFont="1" applyFill="1" applyBorder="1">
      <alignment vertical="top"/>
    </xf>
    <xf numFmtId="2" fontId="57" fillId="0" borderId="133" xfId="1" applyNumberFormat="1" applyFont="1" applyBorder="1">
      <alignment vertical="top"/>
    </xf>
    <xf numFmtId="0" fontId="90" fillId="9" borderId="133" xfId="1" applyFont="1" applyFill="1" applyBorder="1" applyAlignment="1">
      <alignment vertical="center" wrapText="1"/>
    </xf>
    <xf numFmtId="0" fontId="57" fillId="0" borderId="133" xfId="1" applyFont="1" applyBorder="1" applyAlignment="1">
      <alignment vertical="top" wrapText="1"/>
    </xf>
    <xf numFmtId="0" fontId="14" fillId="14" borderId="3" xfId="1" applyFont="1" applyFill="1" applyBorder="1" applyAlignment="1" applyProtection="1">
      <alignment horizontal="center" vertical="top"/>
      <protection locked="0"/>
    </xf>
    <xf numFmtId="0" fontId="14" fillId="8" borderId="69" xfId="0" applyFont="1" applyFill="1" applyBorder="1" applyAlignment="1">
      <alignment horizontal="left" vertical="top"/>
    </xf>
    <xf numFmtId="0" fontId="14" fillId="14" borderId="78" xfId="1" applyFont="1" applyFill="1" applyBorder="1" applyAlignment="1" applyProtection="1">
      <alignment horizontal="center" vertical="top" wrapText="1"/>
      <protection locked="0"/>
    </xf>
    <xf numFmtId="0" fontId="92" fillId="21" borderId="116" xfId="1" applyFont="1" applyFill="1" applyBorder="1" applyAlignment="1" applyProtection="1">
      <alignment horizontal="center" vertical="center" wrapText="1"/>
      <protection locked="0"/>
    </xf>
    <xf numFmtId="0" fontId="93" fillId="8" borderId="36" xfId="0" applyFont="1" applyFill="1" applyBorder="1" applyAlignment="1">
      <alignment horizontal="center" vertical="center" wrapText="1"/>
    </xf>
    <xf numFmtId="0" fontId="14" fillId="9" borderId="12" xfId="1" applyFont="1" applyFill="1" applyBorder="1" applyAlignment="1">
      <alignment horizontal="center" vertical="center"/>
    </xf>
    <xf numFmtId="0" fontId="14" fillId="8" borderId="63" xfId="0" applyFont="1" applyFill="1" applyBorder="1" applyAlignment="1">
      <alignment horizontal="left" vertical="top"/>
    </xf>
    <xf numFmtId="0" fontId="14" fillId="14" borderId="134" xfId="1" applyFont="1" applyFill="1" applyBorder="1" applyAlignment="1" applyProtection="1">
      <alignment horizontal="center" vertical="top" wrapText="1"/>
      <protection locked="0"/>
    </xf>
    <xf numFmtId="49" fontId="54" fillId="15" borderId="113" xfId="2" applyNumberFormat="1" applyFont="1" applyFill="1" applyBorder="1" applyAlignment="1">
      <alignment horizontal="center" vertical="center" wrapText="1"/>
    </xf>
    <xf numFmtId="49" fontId="54" fillId="0" borderId="105" xfId="2" applyNumberFormat="1" applyFont="1" applyBorder="1" applyAlignment="1" applyProtection="1">
      <alignment horizontal="center" vertical="center" wrapText="1"/>
      <protection locked="0"/>
    </xf>
    <xf numFmtId="1" fontId="55" fillId="0" borderId="105" xfId="2" applyNumberFormat="1" applyFont="1" applyBorder="1" applyAlignment="1" applyProtection="1">
      <alignment horizontal="center" vertical="center"/>
      <protection locked="0"/>
    </xf>
    <xf numFmtId="1" fontId="18" fillId="7" borderId="41" xfId="1" applyNumberFormat="1" applyFont="1" applyFill="1" applyBorder="1" applyAlignment="1">
      <alignment horizontal="center" vertical="center"/>
    </xf>
    <xf numFmtId="49" fontId="54" fillId="15" borderId="105" xfId="2" applyNumberFormat="1" applyFont="1" applyFill="1" applyBorder="1" applyAlignment="1">
      <alignment horizontal="center" vertical="center" wrapText="1"/>
    </xf>
    <xf numFmtId="0" fontId="54" fillId="15" borderId="105" xfId="2" applyFont="1" applyFill="1" applyBorder="1" applyAlignment="1" applyProtection="1">
      <alignment horizontal="center" vertical="center" wrapText="1"/>
      <protection locked="0"/>
    </xf>
    <xf numFmtId="1" fontId="14" fillId="7" borderId="41" xfId="1" applyNumberFormat="1" applyFont="1" applyFill="1" applyBorder="1" applyAlignment="1">
      <alignment horizontal="center" vertical="center"/>
    </xf>
    <xf numFmtId="2" fontId="23" fillId="21" borderId="41" xfId="1" applyNumberFormat="1" applyFont="1" applyFill="1" applyBorder="1" applyAlignment="1">
      <alignment horizontal="center" vertical="center"/>
    </xf>
    <xf numFmtId="2" fontId="18" fillId="21" borderId="41" xfId="1" applyNumberFormat="1" applyFont="1" applyFill="1" applyBorder="1" applyAlignment="1">
      <alignment horizontal="center" vertical="center"/>
    </xf>
    <xf numFmtId="2" fontId="75" fillId="21" borderId="41" xfId="1" applyNumberFormat="1" applyFont="1" applyFill="1" applyBorder="1" applyAlignment="1">
      <alignment horizontal="center" vertical="center"/>
    </xf>
    <xf numFmtId="0" fontId="54" fillId="15" borderId="96" xfId="2" applyFont="1" applyFill="1" applyBorder="1" applyAlignment="1">
      <alignment horizontal="center" vertical="center" wrapText="1"/>
    </xf>
    <xf numFmtId="49" fontId="54" fillId="15" borderId="106" xfId="2" applyNumberFormat="1" applyFont="1" applyFill="1" applyBorder="1" applyAlignment="1">
      <alignment horizontal="center" vertical="center" wrapText="1"/>
    </xf>
    <xf numFmtId="0" fontId="54" fillId="15" borderId="106" xfId="2" applyFont="1" applyFill="1" applyBorder="1" applyAlignment="1" applyProtection="1">
      <alignment horizontal="center" vertical="center" wrapText="1"/>
      <protection locked="0"/>
    </xf>
    <xf numFmtId="1" fontId="55" fillId="15" borderId="106" xfId="2" applyNumberFormat="1" applyFont="1" applyFill="1" applyBorder="1" applyAlignment="1" applyProtection="1">
      <alignment horizontal="center" vertical="center"/>
      <protection locked="0"/>
    </xf>
    <xf numFmtId="1" fontId="55" fillId="0" borderId="44" xfId="2" applyNumberFormat="1" applyFont="1" applyBorder="1" applyAlignment="1" applyProtection="1">
      <alignment horizontal="center" vertical="center"/>
      <protection locked="0"/>
    </xf>
    <xf numFmtId="1" fontId="55" fillId="0" borderId="43" xfId="2" applyNumberFormat="1" applyFont="1" applyBorder="1" applyAlignment="1" applyProtection="1">
      <alignment horizontal="center" vertical="center"/>
      <protection locked="0"/>
    </xf>
    <xf numFmtId="49" fontId="54" fillId="15" borderId="105" xfId="2" applyNumberFormat="1" applyFont="1" applyFill="1" applyBorder="1" applyAlignment="1" applyProtection="1">
      <alignment horizontal="center" vertical="center" wrapText="1"/>
      <protection locked="0"/>
    </xf>
    <xf numFmtId="0" fontId="54" fillId="15" borderId="113" xfId="2" applyFont="1" applyFill="1" applyBorder="1" applyAlignment="1">
      <alignment horizontal="center" vertical="center" wrapText="1"/>
    </xf>
    <xf numFmtId="1" fontId="54" fillId="0" borderId="105" xfId="2" applyNumberFormat="1" applyFont="1" applyBorder="1" applyAlignment="1" applyProtection="1">
      <alignment horizontal="center" vertical="center"/>
      <protection locked="0"/>
    </xf>
    <xf numFmtId="1" fontId="54" fillId="0" borderId="44" xfId="2" applyNumberFormat="1" applyFont="1" applyBorder="1" applyAlignment="1" applyProtection="1">
      <alignment horizontal="center" vertical="center"/>
      <protection locked="0"/>
    </xf>
    <xf numFmtId="0" fontId="54" fillId="15" borderId="105" xfId="2" applyFont="1" applyFill="1" applyBorder="1" applyAlignment="1">
      <alignment horizontal="center" vertical="center" wrapText="1"/>
    </xf>
    <xf numFmtId="0" fontId="5" fillId="8" borderId="134" xfId="1" applyFont="1" applyFill="1" applyBorder="1" applyAlignment="1">
      <alignment horizontal="center"/>
    </xf>
    <xf numFmtId="0" fontId="14" fillId="0" borderId="134" xfId="1" applyFont="1" applyFill="1" applyBorder="1" applyAlignment="1" applyProtection="1">
      <alignment horizontal="center" vertical="top"/>
      <protection locked="0"/>
    </xf>
    <xf numFmtId="0" fontId="14" fillId="8" borderId="134" xfId="1" applyFont="1" applyFill="1" applyBorder="1" applyAlignment="1" applyProtection="1">
      <alignment horizontal="center" vertical="top"/>
      <protection locked="0"/>
    </xf>
    <xf numFmtId="0" fontId="14" fillId="0" borderId="134" xfId="1" applyFont="1" applyBorder="1" applyAlignment="1" applyProtection="1">
      <alignment horizontal="center" vertical="top"/>
      <protection locked="0"/>
    </xf>
    <xf numFmtId="1" fontId="14" fillId="0" borderId="134" xfId="1" applyNumberFormat="1" applyFont="1" applyBorder="1" applyAlignment="1" applyProtection="1">
      <alignment horizontal="center" vertical="top" wrapText="1"/>
      <protection locked="0"/>
    </xf>
    <xf numFmtId="1" fontId="14" fillId="0" borderId="134" xfId="1" applyNumberFormat="1" applyFont="1" applyFill="1" applyBorder="1" applyAlignment="1" applyProtection="1">
      <alignment horizontal="center" vertical="top" wrapText="1"/>
      <protection locked="0"/>
    </xf>
    <xf numFmtId="0" fontId="14" fillId="14" borderId="134" xfId="22" applyFont="1" applyFill="1" applyBorder="1" applyAlignment="1" applyProtection="1">
      <alignment horizontal="center" vertical="top" wrapText="1"/>
      <protection locked="0"/>
    </xf>
    <xf numFmtId="0" fontId="14" fillId="0" borderId="134" xfId="22" applyFont="1" applyBorder="1" applyAlignment="1" applyProtection="1">
      <alignment horizontal="center" vertical="top"/>
      <protection locked="0"/>
    </xf>
    <xf numFmtId="0" fontId="14" fillId="0" borderId="73" xfId="22" applyFont="1" applyBorder="1" applyAlignment="1" applyProtection="1">
      <alignment horizontal="center" vertical="top"/>
      <protection locked="0"/>
    </xf>
    <xf numFmtId="0" fontId="100" fillId="24" borderId="126" xfId="0" applyFont="1" applyFill="1" applyBorder="1" applyAlignment="1" applyProtection="1">
      <alignment vertical="center" wrapText="1"/>
    </xf>
    <xf numFmtId="0" fontId="100" fillId="24" borderId="10" xfId="1" applyFont="1" applyFill="1" applyBorder="1" applyAlignment="1" applyProtection="1">
      <alignment horizontal="left" vertical="center" wrapText="1"/>
    </xf>
    <xf numFmtId="0" fontId="100" fillId="24" borderId="10" xfId="0" applyFont="1" applyFill="1" applyBorder="1" applyAlignment="1" applyProtection="1">
      <alignment horizontal="left" vertical="top" wrapText="1"/>
    </xf>
    <xf numFmtId="0" fontId="100" fillId="24" borderId="126" xfId="0" applyFont="1" applyFill="1" applyBorder="1" applyAlignment="1">
      <alignment vertical="center" wrapText="1"/>
    </xf>
    <xf numFmtId="0" fontId="100" fillId="24" borderId="47" xfId="0" applyFont="1" applyFill="1" applyBorder="1" applyAlignment="1" applyProtection="1">
      <alignment horizontal="left" vertical="center" wrapText="1"/>
    </xf>
    <xf numFmtId="0" fontId="100" fillId="24" borderId="10" xfId="0" applyFont="1" applyFill="1" applyBorder="1" applyAlignment="1" applyProtection="1">
      <alignment horizontal="left" vertical="center" wrapText="1"/>
    </xf>
    <xf numFmtId="0" fontId="100" fillId="24" borderId="47" xfId="0" applyFont="1" applyFill="1" applyBorder="1" applyAlignment="1" applyProtection="1">
      <alignment vertical="center" wrapText="1"/>
    </xf>
    <xf numFmtId="0" fontId="100" fillId="24" borderId="41" xfId="0" applyFont="1" applyFill="1" applyBorder="1" applyAlignment="1" applyProtection="1">
      <alignment horizontal="left" vertical="center" wrapText="1"/>
    </xf>
    <xf numFmtId="0" fontId="100" fillId="24" borderId="10" xfId="0" applyFont="1" applyFill="1" applyBorder="1" applyAlignment="1" applyProtection="1">
      <alignment vertical="center" wrapText="1"/>
    </xf>
    <xf numFmtId="0" fontId="101" fillId="24" borderId="47" xfId="0" applyFont="1" applyFill="1" applyBorder="1" applyAlignment="1" applyProtection="1">
      <alignment vertical="center" wrapText="1"/>
    </xf>
    <xf numFmtId="0" fontId="100" fillId="24" borderId="30" xfId="0" applyFont="1" applyFill="1" applyBorder="1" applyAlignment="1" applyProtection="1">
      <alignment vertical="center" wrapText="1"/>
    </xf>
    <xf numFmtId="0" fontId="100" fillId="24" borderId="10" xfId="0" applyFont="1" applyFill="1" applyBorder="1" applyAlignment="1">
      <alignment horizontal="left" vertical="center" wrapText="1"/>
    </xf>
    <xf numFmtId="0" fontId="100" fillId="24" borderId="59" xfId="0" applyFont="1" applyFill="1" applyBorder="1" applyAlignment="1" applyProtection="1">
      <alignment horizontal="left" vertical="center" wrapText="1"/>
    </xf>
    <xf numFmtId="0" fontId="107" fillId="24" borderId="47" xfId="0" applyFont="1" applyFill="1" applyBorder="1" applyAlignment="1" applyProtection="1">
      <alignment horizontal="left" vertical="center" wrapText="1"/>
    </xf>
    <xf numFmtId="49" fontId="100" fillId="24" borderId="10" xfId="0" applyNumberFormat="1" applyFont="1" applyFill="1" applyBorder="1" applyAlignment="1" applyProtection="1">
      <alignment horizontal="left" vertical="center" wrapText="1"/>
    </xf>
    <xf numFmtId="0" fontId="100" fillId="24" borderId="10" xfId="0" applyNumberFormat="1" applyFont="1" applyFill="1" applyBorder="1" applyAlignment="1" applyProtection="1">
      <alignment horizontal="left" vertical="center" wrapText="1"/>
    </xf>
    <xf numFmtId="0" fontId="100" fillId="24" borderId="116" xfId="0" applyFont="1" applyFill="1" applyBorder="1" applyAlignment="1" applyProtection="1">
      <alignment horizontal="left" vertical="center" wrapText="1"/>
    </xf>
    <xf numFmtId="0" fontId="100" fillId="24" borderId="116" xfId="0" applyFont="1" applyFill="1" applyBorder="1" applyAlignment="1" applyProtection="1">
      <alignment vertical="center" wrapText="1"/>
    </xf>
    <xf numFmtId="49" fontId="54" fillId="0" borderId="134" xfId="2" applyNumberFormat="1" applyFont="1" applyBorder="1" applyAlignment="1" applyProtection="1">
      <alignment horizontal="center" vertical="center" wrapText="1"/>
      <protection locked="0"/>
    </xf>
    <xf numFmtId="0" fontId="54" fillId="15" borderId="101" xfId="2" applyFont="1" applyFill="1" applyBorder="1" applyAlignment="1">
      <alignment horizontal="center" vertical="center" wrapText="1"/>
    </xf>
    <xf numFmtId="1" fontId="54" fillId="0" borderId="134" xfId="2" applyNumberFormat="1" applyFont="1" applyBorder="1" applyAlignment="1" applyProtection="1">
      <alignment horizontal="center" vertical="center"/>
      <protection locked="0"/>
    </xf>
    <xf numFmtId="1" fontId="54" fillId="0" borderId="73" xfId="2" applyNumberFormat="1" applyFont="1" applyBorder="1" applyAlignment="1" applyProtection="1">
      <alignment horizontal="center" vertical="center"/>
      <protection locked="0"/>
    </xf>
    <xf numFmtId="1" fontId="14" fillId="7" borderId="130" xfId="1" applyNumberFormat="1" applyFont="1" applyFill="1" applyBorder="1" applyAlignment="1">
      <alignment horizontal="center" vertical="center"/>
    </xf>
    <xf numFmtId="2" fontId="18" fillId="21" borderId="130" xfId="1" applyNumberFormat="1" applyFont="1" applyFill="1" applyBorder="1" applyAlignment="1">
      <alignment horizontal="center" vertical="center"/>
    </xf>
    <xf numFmtId="1" fontId="18" fillId="7" borderId="130" xfId="1" applyNumberFormat="1" applyFont="1" applyFill="1" applyBorder="1" applyAlignment="1">
      <alignment horizontal="center" vertical="center"/>
    </xf>
    <xf numFmtId="1" fontId="18" fillId="7" borderId="30" xfId="1" applyNumberFormat="1" applyFont="1" applyFill="1" applyBorder="1" applyAlignment="1">
      <alignment horizontal="center" vertical="center"/>
    </xf>
    <xf numFmtId="49" fontId="18" fillId="7" borderId="13" xfId="1" applyNumberFormat="1" applyFont="1" applyFill="1" applyBorder="1" applyAlignment="1" applyProtection="1">
      <alignment vertical="center"/>
      <protection locked="0"/>
    </xf>
    <xf numFmtId="49" fontId="54" fillId="15" borderId="134" xfId="2" applyNumberFormat="1" applyFont="1" applyFill="1" applyBorder="1" applyAlignment="1">
      <alignment horizontal="center" vertical="center" wrapText="1"/>
    </xf>
    <xf numFmtId="0" fontId="14" fillId="4" borderId="134" xfId="1" applyFont="1" applyFill="1" applyBorder="1" applyAlignment="1" applyProtection="1">
      <alignment horizontal="center" vertical="top"/>
      <protection locked="0"/>
    </xf>
    <xf numFmtId="0" fontId="81" fillId="0" borderId="130" xfId="1" applyFont="1" applyBorder="1" applyAlignment="1" applyProtection="1">
      <alignment vertical="top" wrapText="1"/>
      <protection locked="0"/>
    </xf>
    <xf numFmtId="0" fontId="93" fillId="0" borderId="130" xfId="1" applyFont="1" applyBorder="1" applyAlignment="1" applyProtection="1">
      <alignment horizontal="center" vertical="center" wrapText="1"/>
      <protection locked="0"/>
    </xf>
    <xf numFmtId="0" fontId="108" fillId="0" borderId="0" xfId="0" applyFont="1">
      <alignment vertical="top"/>
    </xf>
    <xf numFmtId="0" fontId="22" fillId="0" borderId="0" xfId="0" applyFont="1" applyAlignment="1">
      <alignment vertical="top" wrapText="1"/>
    </xf>
    <xf numFmtId="2" fontId="22" fillId="0" borderId="0" xfId="0" applyNumberFormat="1" applyFont="1" applyAlignment="1">
      <alignment vertical="top" wrapText="1"/>
    </xf>
    <xf numFmtId="0" fontId="58" fillId="16" borderId="131" xfId="0" applyNumberFormat="1" applyFont="1" applyFill="1" applyBorder="1" applyAlignment="1">
      <alignment vertical="center" wrapText="1"/>
    </xf>
    <xf numFmtId="0" fontId="58" fillId="16" borderId="130" xfId="0" applyNumberFormat="1" applyFont="1" applyFill="1" applyBorder="1" applyAlignment="1">
      <alignment vertical="center" wrapText="1"/>
    </xf>
    <xf numFmtId="2" fontId="57" fillId="0" borderId="69" xfId="0" applyNumberFormat="1" applyFont="1" applyFill="1" applyBorder="1">
      <alignment vertical="top"/>
    </xf>
    <xf numFmtId="0" fontId="58" fillId="16" borderId="131" xfId="0" applyNumberFormat="1" applyFont="1" applyFill="1" applyBorder="1" applyAlignment="1">
      <alignment vertical="center"/>
    </xf>
    <xf numFmtId="0" fontId="58" fillId="16" borderId="130" xfId="0" applyNumberFormat="1" applyFont="1" applyFill="1" applyBorder="1" applyAlignment="1">
      <alignment vertical="center"/>
    </xf>
    <xf numFmtId="2" fontId="57" fillId="0" borderId="17" xfId="0" applyNumberFormat="1" applyFont="1" applyFill="1" applyBorder="1">
      <alignment vertical="top"/>
    </xf>
    <xf numFmtId="2" fontId="57" fillId="0" borderId="112" xfId="0" applyNumberFormat="1" applyFont="1" applyFill="1" applyBorder="1">
      <alignment vertical="top"/>
    </xf>
    <xf numFmtId="2" fontId="57" fillId="0" borderId="33" xfId="0" applyNumberFormat="1" applyFont="1" applyFill="1" applyBorder="1">
      <alignment vertical="top"/>
    </xf>
    <xf numFmtId="2" fontId="57" fillId="0" borderId="21" xfId="0" applyNumberFormat="1" applyFont="1" applyFill="1" applyBorder="1">
      <alignment vertical="top"/>
    </xf>
    <xf numFmtId="0" fontId="18" fillId="0" borderId="69" xfId="0" applyNumberFormat="1" applyFont="1" applyBorder="1">
      <alignment vertical="top"/>
    </xf>
    <xf numFmtId="2" fontId="57" fillId="0" borderId="129" xfId="0" applyNumberFormat="1" applyFont="1" applyFill="1" applyBorder="1">
      <alignment vertical="top"/>
    </xf>
    <xf numFmtId="0" fontId="18" fillId="0" borderId="133" xfId="0" applyNumberFormat="1" applyFont="1" applyBorder="1" applyAlignment="1">
      <alignment horizontal="left" vertical="top"/>
    </xf>
    <xf numFmtId="2" fontId="57" fillId="0" borderId="121" xfId="0" applyNumberFormat="1" applyFont="1" applyFill="1" applyBorder="1">
      <alignment vertical="top"/>
    </xf>
    <xf numFmtId="0" fontId="18" fillId="0" borderId="33" xfId="0" applyNumberFormat="1" applyFont="1" applyBorder="1">
      <alignment vertical="top"/>
    </xf>
    <xf numFmtId="2" fontId="57" fillId="0" borderId="34" xfId="0" applyNumberFormat="1" applyFont="1" applyFill="1" applyBorder="1">
      <alignment vertical="top"/>
    </xf>
    <xf numFmtId="0" fontId="21" fillId="5" borderId="0" xfId="0" applyFont="1" applyFill="1" applyBorder="1" applyAlignment="1">
      <alignment horizontal="left" vertical="center" wrapText="1"/>
    </xf>
    <xf numFmtId="0" fontId="21" fillId="5" borderId="67" xfId="0" applyFont="1" applyFill="1" applyBorder="1" applyAlignment="1">
      <alignment horizontal="left" vertical="center" wrapText="1"/>
    </xf>
    <xf numFmtId="0" fontId="26" fillId="0" borderId="107" xfId="0" applyFont="1" applyBorder="1" applyAlignment="1">
      <alignment horizontal="left" vertical="top" wrapText="1"/>
    </xf>
    <xf numFmtId="0" fontId="26" fillId="0" borderId="26" xfId="0" applyFont="1" applyBorder="1" applyAlignment="1">
      <alignment horizontal="left" vertical="top" wrapText="1"/>
    </xf>
    <xf numFmtId="0" fontId="26" fillId="0" borderId="17" xfId="0" applyFont="1" applyBorder="1" applyAlignment="1">
      <alignment horizontal="left" vertical="top" wrapText="1"/>
    </xf>
    <xf numFmtId="0" fontId="14" fillId="0" borderId="107" xfId="0" applyFont="1" applyBorder="1" applyAlignment="1">
      <alignment horizontal="center" vertical="top" wrapText="1"/>
    </xf>
    <xf numFmtId="0" fontId="14" fillId="0" borderId="26" xfId="0" applyFont="1" applyBorder="1" applyAlignment="1">
      <alignment horizontal="center" vertical="top" wrapText="1"/>
    </xf>
    <xf numFmtId="0" fontId="14" fillId="0" borderId="17" xfId="0" applyFont="1" applyBorder="1" applyAlignment="1">
      <alignment horizontal="center" vertical="top" wrapText="1"/>
    </xf>
    <xf numFmtId="0" fontId="14" fillId="0" borderId="20" xfId="1" applyFont="1" applyFill="1" applyBorder="1" applyAlignment="1" applyProtection="1">
      <alignment horizontal="left" vertical="top" wrapText="1"/>
    </xf>
    <xf numFmtId="0" fontId="14" fillId="0" borderId="26" xfId="1" applyFont="1" applyFill="1" applyBorder="1" applyAlignment="1" applyProtection="1">
      <alignment horizontal="left" vertical="top" wrapText="1"/>
    </xf>
    <xf numFmtId="0" fontId="14" fillId="0" borderId="40" xfId="1" applyFont="1" applyFill="1" applyBorder="1" applyAlignment="1" applyProtection="1">
      <alignment horizontal="left" vertical="top" wrapText="1"/>
    </xf>
    <xf numFmtId="0" fontId="14" fillId="0" borderId="20" xfId="0" applyFont="1" applyBorder="1" applyAlignment="1" applyProtection="1">
      <alignment vertical="top" wrapText="1"/>
    </xf>
    <xf numFmtId="0" fontId="14" fillId="0" borderId="26" xfId="0" applyFont="1" applyBorder="1" applyAlignment="1" applyProtection="1">
      <alignment vertical="top" wrapText="1"/>
    </xf>
    <xf numFmtId="0" fontId="14" fillId="0" borderId="40" xfId="0" applyFont="1" applyBorder="1" applyAlignment="1" applyProtection="1">
      <alignment vertical="top" wrapText="1"/>
    </xf>
    <xf numFmtId="0" fontId="14" fillId="0" borderId="20" xfId="1" applyFont="1" applyBorder="1" applyAlignment="1" applyProtection="1">
      <alignment vertical="top" wrapText="1"/>
    </xf>
    <xf numFmtId="0" fontId="14" fillId="0" borderId="26" xfId="1" applyFont="1" applyBorder="1" applyAlignment="1" applyProtection="1">
      <alignment vertical="top" wrapText="1"/>
    </xf>
    <xf numFmtId="0" fontId="14" fillId="0" borderId="40" xfId="1" applyFont="1" applyBorder="1" applyAlignment="1" applyProtection="1">
      <alignment vertical="top" wrapText="1"/>
    </xf>
    <xf numFmtId="0" fontId="81" fillId="0" borderId="131" xfId="1" applyFont="1" applyBorder="1" applyAlignment="1" applyProtection="1">
      <alignment horizontal="left" vertical="top" wrapText="1"/>
      <protection locked="0"/>
    </xf>
    <xf numFmtId="0" fontId="81" fillId="0" borderId="123" xfId="1" applyFont="1" applyBorder="1" applyAlignment="1" applyProtection="1">
      <alignment horizontal="left" vertical="top" wrapText="1"/>
      <protection locked="0"/>
    </xf>
    <xf numFmtId="0" fontId="80" fillId="0" borderId="50" xfId="0" applyFont="1" applyFill="1" applyBorder="1" applyAlignment="1">
      <alignment horizontal="left" vertical="top" wrapText="1"/>
    </xf>
    <xf numFmtId="0" fontId="80" fillId="0" borderId="60" xfId="0" applyFont="1" applyFill="1" applyBorder="1" applyAlignment="1">
      <alignment horizontal="left" vertical="top" wrapText="1"/>
    </xf>
    <xf numFmtId="0" fontId="14" fillId="0" borderId="20" xfId="1" applyFont="1" applyFill="1" applyBorder="1" applyAlignment="1">
      <alignment horizontal="left" vertical="top" wrapText="1"/>
    </xf>
    <xf numFmtId="0" fontId="14" fillId="0" borderId="26" xfId="1" applyFont="1" applyFill="1" applyBorder="1" applyAlignment="1">
      <alignment horizontal="left" vertical="top" wrapText="1"/>
    </xf>
    <xf numFmtId="0" fontId="14" fillId="0" borderId="40" xfId="1" applyFont="1" applyFill="1" applyBorder="1" applyAlignment="1">
      <alignment horizontal="left" vertical="top" wrapText="1"/>
    </xf>
    <xf numFmtId="0" fontId="14" fillId="0" borderId="20" xfId="0" applyFont="1" applyFill="1" applyBorder="1" applyAlignment="1" applyProtection="1">
      <alignment horizontal="left" vertical="top" wrapText="1"/>
    </xf>
    <xf numFmtId="0" fontId="18" fillId="0" borderId="26" xfId="0" applyFont="1" applyBorder="1">
      <alignment vertical="top"/>
    </xf>
    <xf numFmtId="0" fontId="18" fillId="0" borderId="40" xfId="0" applyFont="1" applyBorder="1">
      <alignment vertical="top"/>
    </xf>
    <xf numFmtId="1" fontId="14" fillId="0" borderId="20" xfId="0" applyNumberFormat="1" applyFont="1" applyFill="1" applyBorder="1" applyAlignment="1" applyProtection="1">
      <alignment horizontal="left" vertical="top" wrapText="1"/>
    </xf>
    <xf numFmtId="0" fontId="14" fillId="0" borderId="31" xfId="0" applyFont="1" applyFill="1" applyBorder="1" applyAlignment="1" applyProtection="1">
      <alignment horizontal="left" vertical="top" wrapText="1"/>
    </xf>
    <xf numFmtId="0" fontId="14" fillId="0" borderId="57" xfId="0" applyFont="1" applyFill="1" applyBorder="1" applyAlignment="1" applyProtection="1">
      <alignment horizontal="left" vertical="top" wrapText="1"/>
    </xf>
    <xf numFmtId="0" fontId="14" fillId="0" borderId="19" xfId="0" applyFont="1" applyFill="1" applyBorder="1" applyAlignment="1" applyProtection="1">
      <alignment horizontal="left" vertical="top" wrapText="1"/>
    </xf>
    <xf numFmtId="0" fontId="14" fillId="0" borderId="27" xfId="0" applyFont="1" applyFill="1" applyBorder="1" applyAlignment="1" applyProtection="1">
      <alignment horizontal="left" vertical="top" wrapText="1"/>
    </xf>
    <xf numFmtId="0" fontId="14" fillId="0" borderId="67" xfId="0" applyFont="1" applyFill="1" applyBorder="1" applyAlignment="1" applyProtection="1">
      <alignment horizontal="left" vertical="top" wrapText="1"/>
    </xf>
    <xf numFmtId="0" fontId="14" fillId="0" borderId="68" xfId="0" applyFont="1" applyFill="1" applyBorder="1" applyAlignment="1" applyProtection="1">
      <alignment horizontal="left" vertical="top" wrapText="1"/>
    </xf>
    <xf numFmtId="0" fontId="14" fillId="0" borderId="26" xfId="0" applyFont="1" applyFill="1" applyBorder="1" applyAlignment="1" applyProtection="1">
      <alignment horizontal="left" vertical="top" wrapText="1"/>
    </xf>
    <xf numFmtId="0" fontId="14" fillId="0" borderId="40" xfId="0" applyFont="1" applyFill="1" applyBorder="1" applyAlignment="1" applyProtection="1">
      <alignment horizontal="left" vertical="top" wrapText="1"/>
    </xf>
    <xf numFmtId="0" fontId="14" fillId="0" borderId="26" xfId="0" applyFont="1" applyFill="1" applyBorder="1" applyAlignment="1" applyProtection="1">
      <alignment horizontal="left" vertical="top"/>
    </xf>
    <xf numFmtId="0" fontId="14" fillId="0" borderId="20" xfId="1" applyFont="1" applyBorder="1" applyAlignment="1" applyProtection="1">
      <alignment horizontal="left" vertical="top" wrapText="1"/>
    </xf>
    <xf numFmtId="0" fontId="14" fillId="0" borderId="26" xfId="1" applyFont="1" applyBorder="1" applyAlignment="1" applyProtection="1">
      <alignment horizontal="left" vertical="top" wrapText="1"/>
    </xf>
    <xf numFmtId="0" fontId="14" fillId="0" borderId="40" xfId="1" applyFont="1" applyBorder="1" applyAlignment="1" applyProtection="1">
      <alignment horizontal="left" vertical="top" wrapText="1"/>
    </xf>
    <xf numFmtId="0" fontId="14" fillId="0" borderId="26" xfId="1" applyFont="1" applyFill="1" applyBorder="1" applyAlignment="1" applyProtection="1">
      <alignment horizontal="left" vertical="top"/>
    </xf>
    <xf numFmtId="0" fontId="14" fillId="0" borderId="40" xfId="1" applyFont="1" applyFill="1" applyBorder="1" applyAlignment="1" applyProtection="1">
      <alignment horizontal="left" vertical="top"/>
    </xf>
    <xf numFmtId="0" fontId="20" fillId="0" borderId="26" xfId="1" applyFont="1" applyFill="1" applyBorder="1" applyAlignment="1" applyProtection="1">
      <alignment horizontal="left" vertical="top" wrapText="1"/>
    </xf>
    <xf numFmtId="0" fontId="20" fillId="0" borderId="40" xfId="1" applyFont="1" applyFill="1" applyBorder="1" applyAlignment="1" applyProtection="1">
      <alignment horizontal="left" vertical="top" wrapText="1"/>
    </xf>
    <xf numFmtId="49" fontId="14" fillId="0" borderId="26" xfId="1" applyNumberFormat="1" applyFont="1" applyFill="1" applyBorder="1" applyAlignment="1" applyProtection="1">
      <alignment horizontal="left" vertical="top" wrapText="1"/>
    </xf>
    <xf numFmtId="0" fontId="14" fillId="0" borderId="20" xfId="0" applyFont="1" applyFill="1" applyBorder="1" applyAlignment="1">
      <alignment horizontal="left" vertical="top" wrapText="1"/>
    </xf>
    <xf numFmtId="0" fontId="20" fillId="0" borderId="26" xfId="0" applyFont="1" applyFill="1" applyBorder="1" applyAlignment="1">
      <alignment horizontal="left" vertical="top"/>
    </xf>
    <xf numFmtId="0" fontId="20" fillId="0" borderId="40" xfId="0" applyFont="1" applyFill="1" applyBorder="1" applyAlignment="1">
      <alignment horizontal="left" vertical="top"/>
    </xf>
    <xf numFmtId="0" fontId="14" fillId="0" borderId="17" xfId="1" applyFont="1" applyFill="1" applyBorder="1" applyAlignment="1" applyProtection="1">
      <alignment horizontal="left" vertical="top" wrapText="1"/>
    </xf>
    <xf numFmtId="0" fontId="20" fillId="0" borderId="112" xfId="1" applyFont="1" applyFill="1" applyBorder="1" applyAlignment="1" applyProtection="1">
      <alignment horizontal="left" vertical="top" wrapText="1"/>
    </xf>
    <xf numFmtId="0" fontId="20" fillId="0" borderId="21" xfId="1" applyFont="1" applyFill="1" applyBorder="1" applyAlignment="1" applyProtection="1">
      <alignment horizontal="left" vertical="top" wrapText="1"/>
    </xf>
    <xf numFmtId="0" fontId="14" fillId="0" borderId="118" xfId="1" applyFont="1" applyFill="1" applyBorder="1" applyAlignment="1" applyProtection="1">
      <alignment horizontal="left" vertical="top" wrapText="1"/>
    </xf>
    <xf numFmtId="0" fontId="14" fillId="0" borderId="112" xfId="1" applyFont="1" applyFill="1" applyBorder="1" applyAlignment="1" applyProtection="1">
      <alignment horizontal="left" vertical="top" wrapText="1"/>
    </xf>
    <xf numFmtId="0" fontId="14" fillId="0" borderId="21" xfId="1" applyFont="1" applyFill="1" applyBorder="1" applyAlignment="1" applyProtection="1">
      <alignment horizontal="left" vertical="top" wrapText="1"/>
    </xf>
    <xf numFmtId="49" fontId="14" fillId="0" borderId="20" xfId="1" applyNumberFormat="1" applyFont="1" applyFill="1" applyBorder="1" applyAlignment="1" applyProtection="1">
      <alignment horizontal="left" vertical="top" wrapText="1"/>
    </xf>
    <xf numFmtId="49" fontId="14" fillId="0" borderId="40" xfId="1" applyNumberFormat="1" applyFont="1" applyFill="1" applyBorder="1" applyAlignment="1" applyProtection="1">
      <alignment horizontal="left" vertical="top" wrapText="1"/>
    </xf>
    <xf numFmtId="1" fontId="14" fillId="0" borderId="20" xfId="0" applyNumberFormat="1" applyFont="1" applyFill="1" applyBorder="1" applyAlignment="1" applyProtection="1">
      <alignment horizontal="left" vertical="top"/>
    </xf>
    <xf numFmtId="0" fontId="14" fillId="0" borderId="26" xfId="1" applyFont="1" applyFill="1" applyBorder="1" applyAlignment="1">
      <alignment horizontal="left" vertical="top"/>
    </xf>
    <xf numFmtId="0" fontId="14" fillId="0" borderId="40" xfId="1" applyFont="1" applyFill="1" applyBorder="1" applyAlignment="1">
      <alignment horizontal="left" vertical="top"/>
    </xf>
    <xf numFmtId="0" fontId="14" fillId="0" borderId="26" xfId="0" applyFont="1" applyFill="1" applyBorder="1" applyAlignment="1">
      <alignment horizontal="left" vertical="top"/>
    </xf>
    <xf numFmtId="0" fontId="14" fillId="0" borderId="40" xfId="0" applyFont="1" applyFill="1" applyBorder="1" applyAlignment="1">
      <alignment horizontal="left" vertical="top"/>
    </xf>
    <xf numFmtId="0" fontId="14" fillId="0" borderId="67" xfId="0" applyFont="1" applyFill="1" applyBorder="1" applyAlignment="1">
      <alignment horizontal="left" vertical="top"/>
    </xf>
    <xf numFmtId="0" fontId="18" fillId="0" borderId="67" xfId="0" applyFont="1" applyBorder="1">
      <alignment vertical="top"/>
    </xf>
    <xf numFmtId="0" fontId="18" fillId="0" borderId="68" xfId="0" applyFont="1" applyBorder="1">
      <alignment vertical="top"/>
    </xf>
    <xf numFmtId="0" fontId="14" fillId="0" borderId="107" xfId="1" applyFont="1" applyFill="1" applyBorder="1" applyAlignment="1" applyProtection="1">
      <alignment horizontal="left" vertical="top" wrapText="1"/>
    </xf>
    <xf numFmtId="0" fontId="14" fillId="0" borderId="20" xfId="0" applyFont="1" applyFill="1" applyBorder="1" applyAlignment="1" applyProtection="1">
      <alignment horizontal="left" vertical="top"/>
    </xf>
    <xf numFmtId="0" fontId="14" fillId="0" borderId="92" xfId="0" applyFont="1" applyBorder="1" applyAlignment="1" applyProtection="1">
      <alignment vertical="top" wrapText="1"/>
    </xf>
    <xf numFmtId="1" fontId="14" fillId="0" borderId="26" xfId="0" applyNumberFormat="1" applyFont="1" applyFill="1" applyBorder="1" applyAlignment="1" applyProtection="1">
      <alignment horizontal="left" vertical="top" wrapText="1"/>
    </xf>
    <xf numFmtId="1" fontId="14" fillId="0" borderId="40" xfId="0" applyNumberFormat="1" applyFont="1" applyFill="1" applyBorder="1" applyAlignment="1" applyProtection="1">
      <alignment horizontal="left" vertical="top" wrapText="1"/>
    </xf>
    <xf numFmtId="0" fontId="14" fillId="0" borderId="20" xfId="0" applyFont="1" applyBorder="1" applyAlignment="1" applyProtection="1">
      <alignment horizontal="left" vertical="top" wrapText="1"/>
    </xf>
    <xf numFmtId="0" fontId="14" fillId="0" borderId="26" xfId="0" applyFont="1" applyBorder="1" applyAlignment="1" applyProtection="1">
      <alignment horizontal="left" vertical="top" wrapText="1"/>
    </xf>
    <xf numFmtId="0" fontId="14" fillId="0" borderId="40" xfId="0" applyFont="1" applyBorder="1" applyAlignment="1" applyProtection="1">
      <alignment horizontal="left" vertical="top" wrapText="1"/>
    </xf>
    <xf numFmtId="0" fontId="14" fillId="0" borderId="17" xfId="1" applyFont="1" applyFill="1" applyBorder="1" applyAlignment="1">
      <alignment horizontal="left" vertical="top" wrapText="1"/>
    </xf>
    <xf numFmtId="0" fontId="14" fillId="0" borderId="112" xfId="1" applyFont="1" applyFill="1" applyBorder="1" applyAlignment="1">
      <alignment horizontal="left" vertical="top" wrapText="1"/>
    </xf>
    <xf numFmtId="0" fontId="14" fillId="0" borderId="107" xfId="1" applyFont="1" applyFill="1" applyBorder="1" applyAlignment="1">
      <alignment horizontal="left" vertical="top" wrapText="1"/>
    </xf>
    <xf numFmtId="0" fontId="18" fillId="0" borderId="93" xfId="0" applyFont="1" applyBorder="1">
      <alignment vertical="top"/>
    </xf>
    <xf numFmtId="49" fontId="14" fillId="0" borderId="20" xfId="0" applyNumberFormat="1" applyFont="1" applyFill="1" applyBorder="1" applyAlignment="1" applyProtection="1">
      <alignment horizontal="left" vertical="top" wrapText="1"/>
    </xf>
    <xf numFmtId="49" fontId="14" fillId="0" borderId="26" xfId="0" applyNumberFormat="1" applyFont="1" applyFill="1" applyBorder="1" applyAlignment="1" applyProtection="1">
      <alignment horizontal="left" vertical="top" wrapText="1"/>
    </xf>
    <xf numFmtId="49" fontId="14" fillId="0" borderId="40" xfId="0" applyNumberFormat="1" applyFont="1" applyFill="1" applyBorder="1" applyAlignment="1" applyProtection="1">
      <alignment horizontal="left" vertical="top" wrapText="1"/>
    </xf>
    <xf numFmtId="0" fontId="99" fillId="9" borderId="19" xfId="1" applyFont="1" applyFill="1" applyBorder="1" applyAlignment="1" applyProtection="1">
      <alignment horizontal="center" vertical="center" wrapText="1"/>
    </xf>
    <xf numFmtId="0" fontId="99" fillId="9" borderId="35" xfId="1" applyFont="1" applyFill="1" applyBorder="1" applyAlignment="1" applyProtection="1">
      <alignment horizontal="center" vertical="center" wrapText="1"/>
    </xf>
    <xf numFmtId="0" fontId="99" fillId="9" borderId="28" xfId="1" applyFont="1" applyFill="1" applyBorder="1" applyAlignment="1" applyProtection="1">
      <alignment horizontal="center" vertical="center" wrapText="1"/>
    </xf>
    <xf numFmtId="0" fontId="17" fillId="0" borderId="30" xfId="1" applyFont="1" applyFill="1" applyBorder="1" applyAlignment="1" applyProtection="1">
      <alignment horizontal="left" vertical="top" wrapText="1"/>
    </xf>
    <xf numFmtId="0" fontId="17" fillId="0" borderId="47" xfId="1" applyFont="1" applyFill="1" applyBorder="1" applyAlignment="1" applyProtection="1">
      <alignment horizontal="left" vertical="top" wrapText="1"/>
    </xf>
    <xf numFmtId="0" fontId="17" fillId="0" borderId="41" xfId="1" applyFont="1" applyFill="1" applyBorder="1" applyAlignment="1" applyProtection="1">
      <alignment horizontal="left" vertical="top" wrapText="1"/>
    </xf>
    <xf numFmtId="0" fontId="17" fillId="6" borderId="30" xfId="0" applyFont="1" applyFill="1" applyBorder="1" applyAlignment="1" applyProtection="1">
      <alignment horizontal="left" vertical="center" wrapText="1"/>
    </xf>
    <xf numFmtId="0" fontId="17" fillId="6" borderId="47" xfId="0" applyFont="1" applyFill="1" applyBorder="1" applyAlignment="1" applyProtection="1">
      <alignment horizontal="left" vertical="center" wrapText="1"/>
    </xf>
    <xf numFmtId="0" fontId="17" fillId="6" borderId="39" xfId="0" applyFont="1" applyFill="1" applyBorder="1" applyAlignment="1" applyProtection="1">
      <alignment horizontal="left" vertical="center" wrapText="1"/>
    </xf>
    <xf numFmtId="0" fontId="14" fillId="0" borderId="20" xfId="0" applyFont="1" applyFill="1" applyBorder="1" applyAlignment="1">
      <alignment horizontal="left" vertical="top"/>
    </xf>
    <xf numFmtId="0" fontId="14" fillId="0" borderId="26" xfId="0" applyFont="1" applyFill="1" applyBorder="1" applyAlignment="1">
      <alignment horizontal="left" vertical="top" wrapText="1"/>
    </xf>
    <xf numFmtId="0" fontId="82" fillId="21" borderId="125" xfId="1" applyFont="1" applyFill="1" applyBorder="1" applyAlignment="1">
      <alignment horizontal="center" vertical="center" wrapText="1"/>
    </xf>
    <xf numFmtId="0" fontId="82" fillId="21" borderId="123" xfId="1" applyFont="1" applyFill="1" applyBorder="1" applyAlignment="1">
      <alignment horizontal="center" vertical="center" wrapText="1"/>
    </xf>
    <xf numFmtId="0" fontId="82" fillId="21" borderId="45" xfId="1" applyFont="1" applyFill="1" applyBorder="1" applyAlignment="1">
      <alignment horizontal="center" vertical="center" wrapText="1"/>
    </xf>
    <xf numFmtId="0" fontId="82" fillId="21" borderId="62" xfId="1" applyFont="1" applyFill="1" applyBorder="1" applyAlignment="1">
      <alignment horizontal="center" vertical="center" wrapText="1"/>
    </xf>
    <xf numFmtId="0" fontId="48" fillId="0" borderId="123" xfId="1" applyFont="1" applyBorder="1" applyAlignment="1">
      <alignment vertical="center" wrapText="1"/>
    </xf>
    <xf numFmtId="0" fontId="57" fillId="0" borderId="123" xfId="0" applyFont="1" applyBorder="1" applyAlignment="1">
      <alignment vertical="center" wrapText="1"/>
    </xf>
    <xf numFmtId="49" fontId="48" fillId="0" borderId="123" xfId="1" applyNumberFormat="1" applyFont="1" applyFill="1" applyBorder="1" applyAlignment="1">
      <alignment horizontal="right" vertical="center" wrapText="1"/>
    </xf>
    <xf numFmtId="0" fontId="57" fillId="0" borderId="123" xfId="0" applyFont="1" applyBorder="1" applyAlignment="1">
      <alignment horizontal="right" vertical="center" wrapText="1"/>
    </xf>
    <xf numFmtId="49" fontId="84" fillId="21" borderId="123" xfId="1" applyNumberFormat="1" applyFont="1" applyFill="1" applyBorder="1" applyAlignment="1">
      <alignment horizontal="left" vertical="center" wrapText="1"/>
    </xf>
    <xf numFmtId="49" fontId="84" fillId="21" borderId="124" xfId="1" applyNumberFormat="1" applyFont="1" applyFill="1" applyBorder="1" applyAlignment="1">
      <alignment horizontal="left" vertical="center" wrapText="1"/>
    </xf>
    <xf numFmtId="0" fontId="83" fillId="0" borderId="123" xfId="1" applyFont="1" applyBorder="1" applyAlignment="1">
      <alignment horizontal="left" vertical="center" wrapText="1"/>
    </xf>
    <xf numFmtId="0" fontId="83" fillId="0" borderId="124" xfId="1" applyFont="1" applyBorder="1" applyAlignment="1">
      <alignment horizontal="left" vertical="center" wrapText="1"/>
    </xf>
    <xf numFmtId="0" fontId="48" fillId="0" borderId="123" xfId="1" applyFont="1" applyBorder="1" applyAlignment="1">
      <alignment horizontal="left" vertical="center" wrapText="1"/>
    </xf>
    <xf numFmtId="0" fontId="48" fillId="0" borderId="124" xfId="1" applyFont="1" applyBorder="1" applyAlignment="1">
      <alignment horizontal="left" vertical="center" wrapText="1"/>
    </xf>
    <xf numFmtId="0" fontId="57" fillId="0" borderId="124" xfId="0" applyFont="1" applyBorder="1" applyAlignment="1">
      <alignment vertical="center" wrapText="1"/>
    </xf>
    <xf numFmtId="0" fontId="84" fillId="21" borderId="123" xfId="1" applyFont="1" applyFill="1" applyBorder="1" applyAlignment="1">
      <alignment vertical="center" wrapText="1"/>
    </xf>
    <xf numFmtId="0" fontId="86" fillId="21" borderId="123" xfId="0" applyFont="1" applyFill="1" applyBorder="1" applyAlignment="1">
      <alignment vertical="center" wrapText="1"/>
    </xf>
    <xf numFmtId="0" fontId="86" fillId="21" borderId="124" xfId="0" applyFont="1" applyFill="1" applyBorder="1" applyAlignment="1">
      <alignment vertical="center" wrapText="1"/>
    </xf>
    <xf numFmtId="0" fontId="18" fillId="7" borderId="6" xfId="1" applyFont="1" applyFill="1" applyBorder="1" applyAlignment="1" applyProtection="1">
      <alignment horizontal="center" vertical="center"/>
      <protection locked="0"/>
    </xf>
    <xf numFmtId="49" fontId="18" fillId="7" borderId="6" xfId="1" applyNumberFormat="1" applyFont="1" applyFill="1" applyBorder="1" applyAlignment="1" applyProtection="1">
      <alignment horizontal="center" vertical="center"/>
      <protection locked="0"/>
    </xf>
    <xf numFmtId="1" fontId="18" fillId="7" borderId="6" xfId="1" applyNumberFormat="1" applyFont="1" applyFill="1" applyBorder="1" applyAlignment="1" applyProtection="1">
      <alignment horizontal="center" vertical="center"/>
      <protection locked="0"/>
    </xf>
    <xf numFmtId="1" fontId="18" fillId="7" borderId="13" xfId="1" applyNumberFormat="1" applyFont="1" applyFill="1" applyBorder="1" applyAlignment="1" applyProtection="1">
      <alignment horizontal="center" vertical="center"/>
      <protection locked="0"/>
    </xf>
    <xf numFmtId="2" fontId="18" fillId="7" borderId="13" xfId="1" applyNumberFormat="1" applyFont="1" applyFill="1" applyBorder="1" applyAlignment="1" applyProtection="1">
      <alignment horizontal="center" vertical="center"/>
      <protection locked="0"/>
    </xf>
    <xf numFmtId="0" fontId="18" fillId="7" borderId="0" xfId="1" applyFont="1" applyFill="1" applyBorder="1" applyAlignment="1" applyProtection="1">
      <alignment horizontal="center" vertical="center"/>
      <protection locked="0"/>
    </xf>
    <xf numFmtId="49" fontId="18" fillId="7" borderId="0" xfId="1" applyNumberFormat="1" applyFont="1" applyFill="1" applyBorder="1" applyAlignment="1" applyProtection="1">
      <alignment horizontal="center" vertical="center"/>
      <protection locked="0"/>
    </xf>
    <xf numFmtId="1" fontId="18" fillId="7" borderId="0" xfId="1" applyNumberFormat="1" applyFont="1" applyFill="1" applyBorder="1" applyAlignment="1" applyProtection="1">
      <alignment horizontal="center" vertical="center"/>
      <protection locked="0"/>
    </xf>
    <xf numFmtId="1" fontId="18" fillId="7" borderId="26" xfId="1" applyNumberFormat="1" applyFont="1" applyFill="1" applyBorder="1" applyAlignment="1" applyProtection="1">
      <alignment horizontal="center" vertical="center"/>
      <protection locked="0"/>
    </xf>
    <xf numFmtId="2" fontId="18" fillId="7" borderId="26" xfId="1" applyNumberFormat="1" applyFont="1" applyFill="1" applyBorder="1" applyAlignment="1" applyProtection="1">
      <alignment horizontal="center" vertical="center"/>
      <protection locked="0"/>
    </xf>
    <xf numFmtId="0" fontId="97" fillId="0" borderId="125" xfId="1" applyFont="1" applyBorder="1" applyAlignment="1">
      <alignment vertical="top" wrapText="1"/>
    </xf>
    <xf numFmtId="0" fontId="98" fillId="0" borderId="125" xfId="0" applyFont="1" applyBorder="1" applyAlignment="1">
      <alignment vertical="top" wrapText="1"/>
    </xf>
    <xf numFmtId="49" fontId="11" fillId="0" borderId="10" xfId="1" applyNumberFormat="1" applyFont="1" applyFill="1" applyBorder="1" applyAlignment="1">
      <alignment horizontal="right" vertical="center" wrapText="1"/>
    </xf>
    <xf numFmtId="0" fontId="0" fillId="0" borderId="10" xfId="0" applyBorder="1" applyAlignment="1">
      <alignment horizontal="right" vertical="center" wrapText="1"/>
    </xf>
    <xf numFmtId="49" fontId="28" fillId="0" borderId="102" xfId="1" applyNumberFormat="1" applyFont="1" applyBorder="1" applyAlignment="1">
      <alignment horizontal="right" vertical="center" wrapText="1"/>
    </xf>
    <xf numFmtId="49" fontId="28" fillId="0" borderId="14" xfId="1" applyNumberFormat="1" applyFont="1" applyBorder="1" applyAlignment="1">
      <alignment horizontal="right" vertical="center" wrapText="1"/>
    </xf>
    <xf numFmtId="49" fontId="28" fillId="0" borderId="0" xfId="1" applyNumberFormat="1" applyFont="1" applyBorder="1" applyAlignment="1">
      <alignment horizontal="right" vertical="center" wrapText="1"/>
    </xf>
    <xf numFmtId="0" fontId="14" fillId="0" borderId="106" xfId="1" applyFont="1" applyBorder="1" applyAlignment="1">
      <alignment vertical="center" wrapText="1"/>
    </xf>
    <xf numFmtId="0" fontId="0" fillId="0" borderId="15" xfId="0" applyBorder="1" applyAlignment="1">
      <alignment vertical="center" wrapText="1"/>
    </xf>
    <xf numFmtId="0" fontId="14" fillId="0" borderId="96" xfId="1" applyFont="1" applyBorder="1" applyAlignment="1">
      <alignment vertical="center" wrapText="1"/>
    </xf>
    <xf numFmtId="0" fontId="0" fillId="0" borderId="85" xfId="0" applyBorder="1" applyAlignment="1">
      <alignment vertical="center" wrapText="1"/>
    </xf>
    <xf numFmtId="0" fontId="20" fillId="21" borderId="47" xfId="1" applyFont="1" applyFill="1" applyBorder="1" applyAlignment="1">
      <alignment vertical="center" wrapText="1"/>
    </xf>
    <xf numFmtId="0" fontId="40" fillId="21" borderId="47" xfId="0" applyFont="1" applyFill="1" applyBorder="1" applyAlignment="1">
      <alignment vertical="center" wrapText="1"/>
    </xf>
    <xf numFmtId="0" fontId="40" fillId="21" borderId="41" xfId="0" applyFont="1" applyFill="1" applyBorder="1" applyAlignment="1">
      <alignment vertical="center" wrapText="1"/>
    </xf>
    <xf numFmtId="0" fontId="83" fillId="0" borderId="123" xfId="1" applyFont="1" applyBorder="1" applyAlignment="1">
      <alignment vertical="center" wrapText="1"/>
    </xf>
    <xf numFmtId="0" fontId="20" fillId="21" borderId="10" xfId="1" applyFont="1" applyFill="1" applyBorder="1" applyAlignment="1">
      <alignment vertical="center" wrapText="1"/>
    </xf>
    <xf numFmtId="0" fontId="40" fillId="21" borderId="10" xfId="0" applyFont="1" applyFill="1" applyBorder="1" applyAlignment="1">
      <alignment vertical="center" wrapText="1"/>
    </xf>
    <xf numFmtId="0" fontId="40" fillId="21" borderId="68" xfId="0" applyFont="1" applyFill="1" applyBorder="1" applyAlignment="1">
      <alignment vertical="center" wrapText="1"/>
    </xf>
    <xf numFmtId="0" fontId="88" fillId="0" borderId="123" xfId="0" applyFont="1" applyBorder="1" applyAlignment="1">
      <alignment vertical="center" wrapText="1"/>
    </xf>
    <xf numFmtId="0" fontId="88" fillId="0" borderId="124" xfId="0" applyFont="1" applyBorder="1" applyAlignment="1">
      <alignment vertical="center" wrapText="1"/>
    </xf>
    <xf numFmtId="0" fontId="14" fillId="0" borderId="106" xfId="1" applyFont="1" applyFill="1" applyBorder="1" applyAlignment="1">
      <alignment vertical="center" wrapText="1"/>
    </xf>
    <xf numFmtId="0" fontId="0" fillId="0" borderId="15" xfId="0" applyFill="1" applyBorder="1" applyAlignment="1">
      <alignment vertical="center" wrapText="1"/>
    </xf>
    <xf numFmtId="0" fontId="57" fillId="21" borderId="123" xfId="0" applyFont="1" applyFill="1" applyBorder="1" applyAlignment="1">
      <alignment vertical="center" wrapText="1"/>
    </xf>
    <xf numFmtId="0" fontId="57" fillId="21" borderId="124" xfId="0" applyFont="1" applyFill="1" applyBorder="1" applyAlignment="1">
      <alignment vertical="center" wrapText="1"/>
    </xf>
    <xf numFmtId="0" fontId="48" fillId="0" borderId="123" xfId="1" applyFont="1" applyBorder="1" applyAlignment="1" applyProtection="1">
      <alignment vertical="top" wrapText="1"/>
    </xf>
    <xf numFmtId="0" fontId="57" fillId="0" borderId="123" xfId="0" applyFont="1" applyBorder="1" applyAlignment="1" applyProtection="1">
      <alignment vertical="top" wrapText="1"/>
    </xf>
    <xf numFmtId="0" fontId="57" fillId="0" borderId="124" xfId="0" applyFont="1" applyBorder="1" applyAlignment="1" applyProtection="1">
      <alignment vertical="top" wrapText="1"/>
    </xf>
    <xf numFmtId="0" fontId="97" fillId="0" borderId="50" xfId="1" applyFont="1" applyBorder="1" applyAlignment="1">
      <alignment horizontal="center" vertical="top" wrapText="1"/>
    </xf>
    <xf numFmtId="0" fontId="97" fillId="0" borderId="63" xfId="1" applyFont="1" applyBorder="1" applyAlignment="1">
      <alignment horizontal="center" vertical="top" wrapText="1"/>
    </xf>
    <xf numFmtId="0" fontId="97" fillId="0" borderId="60" xfId="1" applyFont="1" applyBorder="1" applyAlignment="1">
      <alignment horizontal="center" vertical="top" wrapText="1"/>
    </xf>
    <xf numFmtId="49" fontId="48" fillId="0" borderId="123" xfId="1" applyNumberFormat="1" applyFont="1" applyBorder="1" applyAlignment="1">
      <alignment horizontal="right" vertical="center" wrapText="1"/>
    </xf>
    <xf numFmtId="49" fontId="48" fillId="0" borderId="124" xfId="1" applyNumberFormat="1" applyFont="1" applyBorder="1" applyAlignment="1">
      <alignment horizontal="right" vertical="center" wrapText="1"/>
    </xf>
    <xf numFmtId="0" fontId="86" fillId="21" borderId="123" xfId="1" applyFont="1" applyFill="1" applyBorder="1" applyAlignment="1">
      <alignment vertical="center" wrapText="1"/>
    </xf>
    <xf numFmtId="0" fontId="86" fillId="21" borderId="124" xfId="1" applyFont="1" applyFill="1" applyBorder="1" applyAlignment="1">
      <alignment vertical="center" wrapText="1"/>
    </xf>
    <xf numFmtId="0" fontId="48" fillId="0" borderId="124" xfId="1" applyFont="1" applyBorder="1" applyAlignment="1">
      <alignment vertical="center" wrapText="1"/>
    </xf>
    <xf numFmtId="0" fontId="14" fillId="0" borderId="59" xfId="0" applyFont="1" applyBorder="1" applyAlignment="1">
      <alignment horizontal="center" vertical="top" wrapText="1"/>
    </xf>
    <xf numFmtId="0" fontId="56" fillId="4" borderId="30" xfId="0" applyFont="1" applyFill="1" applyBorder="1" applyAlignment="1">
      <alignment horizontal="center" vertical="top" wrapText="1"/>
    </xf>
    <xf numFmtId="0" fontId="56" fillId="4" borderId="41" xfId="0" applyFont="1" applyFill="1" applyBorder="1" applyAlignment="1">
      <alignment horizontal="center" vertical="top" wrapText="1"/>
    </xf>
    <xf numFmtId="0" fontId="14" fillId="0" borderId="40" xfId="0" applyFont="1" applyFill="1" applyBorder="1" applyAlignment="1">
      <alignment horizontal="left" vertical="top" wrapText="1"/>
    </xf>
    <xf numFmtId="1" fontId="14" fillId="0" borderId="31" xfId="0" applyNumberFormat="1" applyFont="1" applyFill="1" applyBorder="1" applyAlignment="1">
      <alignment horizontal="left" vertical="top" wrapText="1"/>
    </xf>
    <xf numFmtId="1" fontId="14" fillId="0" borderId="57" xfId="0" applyNumberFormat="1" applyFont="1" applyFill="1" applyBorder="1" applyAlignment="1">
      <alignment horizontal="left" vertical="top" wrapText="1"/>
    </xf>
    <xf numFmtId="0" fontId="47" fillId="0" borderId="83" xfId="0" applyFont="1" applyFill="1" applyBorder="1" applyAlignment="1">
      <alignment vertical="top" wrapText="1"/>
    </xf>
    <xf numFmtId="0" fontId="47" fillId="0" borderId="108" xfId="0" applyFont="1" applyFill="1" applyBorder="1" applyAlignment="1">
      <alignment vertical="top" wrapText="1"/>
    </xf>
    <xf numFmtId="0" fontId="47" fillId="0" borderId="36" xfId="0" applyFont="1" applyFill="1" applyBorder="1" applyAlignment="1">
      <alignment vertical="top" wrapText="1"/>
    </xf>
    <xf numFmtId="1" fontId="14" fillId="0" borderId="20" xfId="0" applyNumberFormat="1" applyFont="1" applyFill="1" applyBorder="1" applyAlignment="1">
      <alignment horizontal="left" vertical="top" wrapText="1"/>
    </xf>
    <xf numFmtId="1" fontId="14" fillId="0" borderId="26" xfId="0" applyNumberFormat="1" applyFont="1" applyFill="1" applyBorder="1" applyAlignment="1">
      <alignment horizontal="left" vertical="top" wrapText="1"/>
    </xf>
    <xf numFmtId="0" fontId="47" fillId="0" borderId="29" xfId="0" applyFont="1" applyFill="1" applyBorder="1" applyAlignment="1">
      <alignment vertical="top" wrapText="1"/>
    </xf>
    <xf numFmtId="0" fontId="47" fillId="0" borderId="67" xfId="0" applyFont="1" applyFill="1" applyBorder="1" applyAlignment="1">
      <alignment horizontal="left" vertical="top" wrapText="1"/>
    </xf>
    <xf numFmtId="0" fontId="47" fillId="0" borderId="68" xfId="0" applyFont="1" applyFill="1" applyBorder="1" applyAlignment="1">
      <alignment horizontal="left" vertical="top" wrapText="1"/>
    </xf>
    <xf numFmtId="0" fontId="14" fillId="0" borderId="26" xfId="0" applyFont="1" applyBorder="1" applyAlignment="1">
      <alignment horizontal="left" vertical="top" wrapText="1"/>
    </xf>
    <xf numFmtId="0" fontId="14" fillId="0" borderId="40" xfId="0" applyFont="1" applyBorder="1" applyAlignment="1">
      <alignment horizontal="left" vertical="top" wrapText="1"/>
    </xf>
    <xf numFmtId="0" fontId="14" fillId="0" borderId="57" xfId="0" applyFont="1" applyFill="1" applyBorder="1" applyAlignment="1">
      <alignment horizontal="left" vertical="top" wrapText="1"/>
    </xf>
    <xf numFmtId="0" fontId="14" fillId="0" borderId="31" xfId="0" applyFont="1" applyFill="1" applyBorder="1" applyAlignment="1">
      <alignment horizontal="left" vertical="top" wrapText="1"/>
    </xf>
    <xf numFmtId="0" fontId="14" fillId="0" borderId="19" xfId="0" applyFont="1" applyFill="1" applyBorder="1" applyAlignment="1">
      <alignment horizontal="left" vertical="top" wrapText="1"/>
    </xf>
    <xf numFmtId="1" fontId="14" fillId="0" borderId="20" xfId="0" applyNumberFormat="1" applyFont="1" applyFill="1" applyBorder="1" applyAlignment="1" applyProtection="1">
      <alignment horizontal="left" vertical="top" wrapText="1"/>
      <protection hidden="1"/>
    </xf>
    <xf numFmtId="1" fontId="14" fillId="0" borderId="26" xfId="0" applyNumberFormat="1" applyFont="1" applyFill="1" applyBorder="1" applyAlignment="1" applyProtection="1">
      <alignment horizontal="left" vertical="top" wrapText="1"/>
      <protection hidden="1"/>
    </xf>
    <xf numFmtId="1" fontId="14" fillId="0" borderId="40" xfId="0" applyNumberFormat="1" applyFont="1" applyFill="1" applyBorder="1" applyAlignment="1" applyProtection="1">
      <alignment horizontal="left" vertical="top" wrapText="1"/>
      <protection hidden="1"/>
    </xf>
    <xf numFmtId="0" fontId="47" fillId="0" borderId="28" xfId="0" applyFont="1" applyFill="1" applyBorder="1" applyAlignment="1">
      <alignment vertical="top" wrapText="1"/>
    </xf>
    <xf numFmtId="1" fontId="14" fillId="0" borderId="57" xfId="0" applyNumberFormat="1" applyFont="1" applyBorder="1" applyAlignment="1" applyProtection="1">
      <alignment horizontal="center" vertical="top" wrapText="1"/>
      <protection hidden="1"/>
    </xf>
    <xf numFmtId="1" fontId="14" fillId="0" borderId="0" xfId="0" applyNumberFormat="1" applyFont="1" applyBorder="1" applyAlignment="1" applyProtection="1">
      <alignment horizontal="center" vertical="top" wrapText="1"/>
      <protection hidden="1"/>
    </xf>
    <xf numFmtId="0" fontId="14" fillId="0" borderId="20" xfId="0" applyFont="1" applyBorder="1" applyAlignment="1">
      <alignment horizontal="left" vertical="top" wrapText="1"/>
    </xf>
    <xf numFmtId="1" fontId="14" fillId="0" borderId="52" xfId="0" applyNumberFormat="1" applyFont="1" applyFill="1" applyBorder="1" applyAlignment="1" applyProtection="1">
      <alignment horizontal="left" vertical="top" wrapText="1"/>
      <protection hidden="1"/>
    </xf>
    <xf numFmtId="1" fontId="14" fillId="0" borderId="13" xfId="0" applyNumberFormat="1" applyFont="1" applyFill="1" applyBorder="1" applyAlignment="1" applyProtection="1">
      <alignment horizontal="left" vertical="top" wrapText="1"/>
      <protection hidden="1"/>
    </xf>
    <xf numFmtId="1" fontId="14" fillId="0" borderId="8" xfId="0" applyNumberFormat="1" applyFont="1" applyFill="1" applyBorder="1" applyAlignment="1" applyProtection="1">
      <alignment horizontal="left" vertical="top" wrapText="1"/>
      <protection hidden="1"/>
    </xf>
    <xf numFmtId="0" fontId="14" fillId="0" borderId="0" xfId="0" applyFont="1" applyBorder="1" applyAlignment="1" applyProtection="1">
      <alignment horizontal="center" vertical="top" wrapText="1"/>
      <protection hidden="1"/>
    </xf>
    <xf numFmtId="1" fontId="14" fillId="0" borderId="40" xfId="0" applyNumberFormat="1" applyFont="1" applyFill="1" applyBorder="1" applyAlignment="1">
      <alignment horizontal="left" vertical="top" wrapText="1"/>
    </xf>
    <xf numFmtId="0" fontId="14" fillId="0" borderId="64" xfId="0" applyFont="1" applyFill="1" applyBorder="1" applyAlignment="1">
      <alignment horizontal="left" vertical="top" wrapText="1"/>
    </xf>
    <xf numFmtId="0" fontId="14" fillId="0" borderId="56" xfId="0" applyFont="1" applyFill="1" applyBorder="1" applyAlignment="1">
      <alignment horizontal="left" vertical="top" wrapText="1"/>
    </xf>
    <xf numFmtId="0" fontId="47" fillId="0" borderId="20" xfId="0" applyFont="1" applyFill="1" applyBorder="1" applyAlignment="1">
      <alignment horizontal="left" vertical="top" wrapText="1"/>
    </xf>
    <xf numFmtId="0" fontId="47" fillId="0" borderId="26" xfId="0" applyFont="1" applyFill="1" applyBorder="1" applyAlignment="1">
      <alignment horizontal="left" vertical="top" wrapText="1"/>
    </xf>
    <xf numFmtId="0" fontId="47" fillId="0" borderId="40"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62" xfId="0" applyFont="1" applyFill="1" applyBorder="1" applyAlignment="1">
      <alignment horizontal="left" vertical="top" wrapText="1"/>
    </xf>
    <xf numFmtId="0" fontId="50" fillId="0" borderId="83" xfId="0" applyFont="1" applyFill="1" applyBorder="1" applyAlignment="1">
      <alignment horizontal="left" vertical="top" wrapText="1"/>
    </xf>
    <xf numFmtId="0" fontId="47" fillId="0" borderId="108" xfId="0" applyFont="1" applyFill="1" applyBorder="1" applyAlignment="1">
      <alignment horizontal="left" vertical="top" wrapText="1"/>
    </xf>
    <xf numFmtId="0" fontId="47" fillId="0" borderId="28" xfId="0" applyFont="1" applyFill="1" applyBorder="1" applyAlignment="1">
      <alignment horizontal="left" vertical="top" wrapText="1"/>
    </xf>
    <xf numFmtId="0" fontId="14" fillId="0" borderId="17" xfId="0" applyFont="1" applyBorder="1" applyAlignment="1">
      <alignment horizontal="left" vertical="top" wrapText="1"/>
    </xf>
    <xf numFmtId="0" fontId="47" fillId="0" borderId="28" xfId="0" applyFont="1" applyBorder="1" applyAlignment="1">
      <alignment vertical="top" wrapText="1"/>
    </xf>
    <xf numFmtId="0" fontId="47" fillId="0" borderId="83" xfId="0" applyFont="1" applyBorder="1" applyAlignment="1">
      <alignment horizontal="left" vertical="top" wrapText="1"/>
    </xf>
    <xf numFmtId="0" fontId="47" fillId="0" borderId="108" xfId="0" applyFont="1" applyBorder="1" applyAlignment="1">
      <alignment horizontal="left" vertical="top" wrapText="1"/>
    </xf>
    <xf numFmtId="0" fontId="47" fillId="0" borderId="28" xfId="0" applyFont="1" applyBorder="1" applyAlignment="1">
      <alignment horizontal="left" vertical="top" wrapText="1"/>
    </xf>
    <xf numFmtId="1" fontId="14" fillId="0" borderId="19" xfId="0" applyNumberFormat="1" applyFont="1" applyFill="1" applyBorder="1" applyAlignment="1">
      <alignment horizontal="left" vertical="top" wrapText="1"/>
    </xf>
    <xf numFmtId="0" fontId="14" fillId="0" borderId="27" xfId="0" applyFont="1" applyFill="1" applyBorder="1" applyAlignment="1">
      <alignment vertical="top" wrapText="1"/>
    </xf>
    <xf numFmtId="0" fontId="14" fillId="0" borderId="67" xfId="0" applyFont="1" applyFill="1" applyBorder="1" applyAlignment="1">
      <alignment vertical="top" wrapText="1"/>
    </xf>
    <xf numFmtId="0" fontId="14" fillId="0" borderId="67" xfId="0" applyFont="1" applyBorder="1" applyAlignment="1">
      <alignment vertical="top" wrapText="1"/>
    </xf>
    <xf numFmtId="0" fontId="14" fillId="0" borderId="68" xfId="0" applyFont="1" applyBorder="1" applyAlignment="1">
      <alignment vertical="top" wrapText="1"/>
    </xf>
    <xf numFmtId="0" fontId="14" fillId="0" borderId="12" xfId="0" applyFont="1" applyBorder="1" applyAlignment="1">
      <alignment vertical="top" wrapText="1"/>
    </xf>
    <xf numFmtId="0" fontId="14" fillId="0" borderId="20" xfId="0" applyFont="1" applyBorder="1" applyAlignment="1">
      <alignment vertical="top" wrapText="1"/>
    </xf>
    <xf numFmtId="0" fontId="14" fillId="0" borderId="26" xfId="0" applyFont="1" applyBorder="1" applyAlignment="1">
      <alignment vertical="top" wrapText="1"/>
    </xf>
    <xf numFmtId="0" fontId="14" fillId="0" borderId="40" xfId="0" applyFont="1" applyBorder="1" applyAlignment="1">
      <alignment vertical="top" wrapText="1"/>
    </xf>
    <xf numFmtId="0" fontId="14" fillId="0" borderId="19" xfId="0" applyFont="1" applyBorder="1" applyAlignment="1">
      <alignment horizontal="center" vertical="top" wrapText="1"/>
    </xf>
    <xf numFmtId="0" fontId="14" fillId="0" borderId="10" xfId="0" applyFont="1" applyBorder="1" applyAlignment="1">
      <alignment horizontal="center" vertical="top" wrapText="1"/>
    </xf>
    <xf numFmtId="0" fontId="14" fillId="0" borderId="68" xfId="0" applyFont="1" applyBorder="1" applyAlignment="1">
      <alignment horizontal="center" vertical="top" wrapText="1"/>
    </xf>
    <xf numFmtId="0" fontId="56" fillId="4" borderId="72" xfId="0" applyFont="1" applyFill="1" applyBorder="1" applyAlignment="1">
      <alignment horizontal="center" vertical="top" wrapText="1"/>
    </xf>
    <xf numFmtId="0" fontId="56" fillId="4" borderId="36" xfId="0" applyFont="1" applyFill="1" applyBorder="1" applyAlignment="1">
      <alignment horizontal="center" vertical="top" wrapText="1"/>
    </xf>
    <xf numFmtId="0" fontId="14" fillId="0" borderId="57" xfId="0" applyFont="1" applyBorder="1" applyAlignment="1">
      <alignment horizontal="left" vertical="top" wrapText="1"/>
    </xf>
    <xf numFmtId="0" fontId="14" fillId="0" borderId="31" xfId="0" applyFont="1" applyBorder="1" applyAlignment="1">
      <alignment horizontal="left" vertical="top" wrapText="1"/>
    </xf>
    <xf numFmtId="0" fontId="14" fillId="0" borderId="19" xfId="0" applyFont="1" applyBorder="1" applyAlignment="1">
      <alignment horizontal="left" vertical="top" wrapText="1"/>
    </xf>
    <xf numFmtId="0" fontId="14" fillId="0" borderId="13" xfId="0" applyFont="1" applyBorder="1" applyAlignment="1">
      <alignment horizontal="left" vertical="top" wrapText="1"/>
    </xf>
    <xf numFmtId="1" fontId="14" fillId="0" borderId="57" xfId="0" applyNumberFormat="1" applyFont="1" applyBorder="1" applyAlignment="1">
      <alignment horizontal="left" vertical="top" wrapText="1"/>
    </xf>
    <xf numFmtId="0" fontId="14" fillId="0" borderId="67" xfId="0" applyFont="1" applyFill="1" applyBorder="1" applyAlignment="1">
      <alignment horizontal="left" vertical="top" wrapText="1"/>
    </xf>
    <xf numFmtId="0" fontId="14" fillId="0" borderId="68" xfId="0" applyFont="1" applyFill="1" applyBorder="1" applyAlignment="1">
      <alignment horizontal="left" vertical="top" wrapText="1"/>
    </xf>
    <xf numFmtId="0" fontId="14" fillId="0" borderId="68" xfId="0" applyFont="1" applyBorder="1" applyAlignment="1">
      <alignment horizontal="left" vertical="top" wrapText="1"/>
    </xf>
    <xf numFmtId="1" fontId="14" fillId="0" borderId="19" xfId="0" applyNumberFormat="1" applyFont="1" applyBorder="1" applyAlignment="1">
      <alignment horizontal="center" vertical="top"/>
    </xf>
    <xf numFmtId="1" fontId="14" fillId="0" borderId="10" xfId="0" applyNumberFormat="1" applyFont="1" applyBorder="1" applyAlignment="1">
      <alignment horizontal="center" vertical="top"/>
    </xf>
    <xf numFmtId="1" fontId="14" fillId="0" borderId="68" xfId="0" applyNumberFormat="1" applyFont="1" applyBorder="1" applyAlignment="1">
      <alignment horizontal="center" vertical="top"/>
    </xf>
    <xf numFmtId="1" fontId="14" fillId="0" borderId="8" xfId="0" applyNumberFormat="1"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72"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7" xfId="0" applyFont="1" applyBorder="1" applyAlignment="1">
      <alignment horizontal="left" vertical="top" wrapText="1"/>
    </xf>
    <xf numFmtId="0" fontId="14" fillId="0" borderId="72" xfId="0" applyFont="1" applyBorder="1" applyAlignment="1">
      <alignment horizontal="left" vertical="top" wrapText="1"/>
    </xf>
    <xf numFmtId="0" fontId="14" fillId="0" borderId="13" xfId="0" applyFont="1" applyFill="1" applyBorder="1" applyAlignment="1">
      <alignment vertical="top" wrapText="1"/>
    </xf>
    <xf numFmtId="0" fontId="14" fillId="0" borderId="26" xfId="0" applyFont="1" applyFill="1" applyBorder="1" applyAlignment="1">
      <alignment vertical="top" wrapText="1"/>
    </xf>
    <xf numFmtId="1" fontId="14" fillId="0" borderId="17" xfId="0" applyNumberFormat="1"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80"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112"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17" xfId="0" applyFont="1" applyFill="1" applyBorder="1" applyAlignment="1">
      <alignment vertical="top" wrapText="1"/>
    </xf>
    <xf numFmtId="0" fontId="14" fillId="0" borderId="18" xfId="0" applyFont="1" applyBorder="1" applyAlignment="1">
      <alignment vertical="top" wrapText="1"/>
    </xf>
    <xf numFmtId="0" fontId="14" fillId="0" borderId="21" xfId="0" applyFont="1" applyBorder="1" applyAlignment="1">
      <alignment vertical="top" wrapText="1"/>
    </xf>
    <xf numFmtId="0" fontId="14" fillId="0" borderId="67" xfId="0" applyFont="1" applyBorder="1" applyAlignment="1">
      <alignment horizontal="left" vertical="top" wrapText="1"/>
    </xf>
    <xf numFmtId="1" fontId="14" fillId="0" borderId="118" xfId="0" applyNumberFormat="1" applyFont="1" applyFill="1" applyBorder="1" applyAlignment="1">
      <alignment horizontal="left" vertical="top" wrapText="1"/>
    </xf>
    <xf numFmtId="1" fontId="14" fillId="0" borderId="112" xfId="0" applyNumberFormat="1" applyFont="1" applyFill="1" applyBorder="1" applyAlignment="1">
      <alignment horizontal="left" vertical="top" wrapText="1"/>
    </xf>
    <xf numFmtId="1" fontId="14" fillId="0" borderId="21" xfId="0" applyNumberFormat="1" applyFont="1" applyFill="1" applyBorder="1" applyAlignment="1">
      <alignment horizontal="left" vertical="top" wrapText="1"/>
    </xf>
    <xf numFmtId="49" fontId="14" fillId="0" borderId="20" xfId="0" applyNumberFormat="1" applyFont="1" applyFill="1" applyBorder="1" applyAlignment="1">
      <alignment horizontal="left" vertical="top" wrapText="1"/>
    </xf>
    <xf numFmtId="49" fontId="14" fillId="0" borderId="26" xfId="0" applyNumberFormat="1" applyFont="1" applyFill="1" applyBorder="1" applyAlignment="1">
      <alignment horizontal="left" vertical="top" wrapText="1"/>
    </xf>
    <xf numFmtId="49" fontId="14" fillId="0" borderId="40" xfId="0" applyNumberFormat="1" applyFont="1" applyFill="1" applyBorder="1" applyAlignment="1">
      <alignment horizontal="left" vertical="top" wrapText="1"/>
    </xf>
    <xf numFmtId="1" fontId="14" fillId="0" borderId="95" xfId="0" applyNumberFormat="1" applyFont="1" applyFill="1" applyBorder="1" applyAlignment="1">
      <alignment horizontal="left" vertical="top" wrapText="1"/>
    </xf>
    <xf numFmtId="1" fontId="14" fillId="0" borderId="90" xfId="0" applyNumberFormat="1" applyFont="1" applyFill="1" applyBorder="1" applyAlignment="1">
      <alignment horizontal="left" vertical="top" wrapText="1"/>
    </xf>
    <xf numFmtId="1" fontId="14" fillId="0" borderId="24" xfId="0" applyNumberFormat="1" applyFont="1" applyFill="1" applyBorder="1" applyAlignment="1">
      <alignment horizontal="left" vertical="top" wrapText="1"/>
    </xf>
    <xf numFmtId="0" fontId="14" fillId="0" borderId="20" xfId="0" applyFont="1" applyFill="1" applyBorder="1" applyAlignment="1">
      <alignment vertical="top" wrapText="1"/>
    </xf>
    <xf numFmtId="0" fontId="14" fillId="0" borderId="40" xfId="0" applyFont="1" applyFill="1" applyBorder="1" applyAlignment="1">
      <alignment vertical="top" wrapText="1"/>
    </xf>
    <xf numFmtId="0" fontId="14" fillId="0" borderId="13" xfId="0" applyFont="1" applyFill="1" applyBorder="1" applyAlignment="1">
      <alignment horizontal="left" vertical="top" wrapText="1"/>
    </xf>
    <xf numFmtId="0" fontId="56" fillId="4" borderId="31" xfId="0" applyFont="1" applyFill="1" applyBorder="1" applyAlignment="1">
      <alignment horizontal="center" vertical="top" wrapText="1"/>
    </xf>
    <xf numFmtId="0" fontId="56" fillId="4" borderId="27" xfId="0" applyFont="1" applyFill="1" applyBorder="1" applyAlignment="1">
      <alignment horizontal="center" vertical="top" wrapText="1"/>
    </xf>
    <xf numFmtId="1" fontId="14" fillId="0" borderId="31" xfId="0" applyNumberFormat="1" applyFont="1" applyBorder="1" applyAlignment="1">
      <alignment horizontal="left" vertical="top" wrapText="1"/>
    </xf>
    <xf numFmtId="1" fontId="14" fillId="0" borderId="19" xfId="0" applyNumberFormat="1" applyFont="1" applyBorder="1" applyAlignment="1">
      <alignment horizontal="left" vertical="top" wrapText="1"/>
    </xf>
    <xf numFmtId="1" fontId="14" fillId="0" borderId="20" xfId="0" applyNumberFormat="1" applyFont="1" applyBorder="1" applyAlignment="1">
      <alignment horizontal="left" vertical="top" wrapText="1"/>
    </xf>
    <xf numFmtId="1" fontId="14" fillId="0" borderId="26" xfId="0" applyNumberFormat="1" applyFont="1" applyBorder="1" applyAlignment="1">
      <alignment horizontal="left" vertical="top" wrapText="1"/>
    </xf>
    <xf numFmtId="1" fontId="14" fillId="0" borderId="40" xfId="0" applyNumberFormat="1" applyFont="1" applyBorder="1" applyAlignment="1">
      <alignment horizontal="left" vertical="top" wrapText="1"/>
    </xf>
    <xf numFmtId="1" fontId="35" fillId="0" borderId="19" xfId="0" applyNumberFormat="1" applyFont="1" applyBorder="1" applyAlignment="1">
      <alignment horizontal="center" vertical="top" wrapText="1"/>
    </xf>
    <xf numFmtId="1" fontId="35" fillId="0" borderId="10" xfId="0" applyNumberFormat="1" applyFont="1" applyBorder="1" applyAlignment="1">
      <alignment horizontal="center" vertical="top" wrapText="1"/>
    </xf>
    <xf numFmtId="1" fontId="35" fillId="0" borderId="68" xfId="0" applyNumberFormat="1" applyFont="1" applyBorder="1" applyAlignment="1">
      <alignment horizontal="center" vertical="top" wrapText="1"/>
    </xf>
    <xf numFmtId="0" fontId="14" fillId="0" borderId="20" xfId="0" applyNumberFormat="1" applyFont="1" applyFill="1" applyBorder="1" applyAlignment="1">
      <alignment horizontal="left" vertical="top" wrapText="1"/>
    </xf>
    <xf numFmtId="0" fontId="14" fillId="0" borderId="26" xfId="0" applyNumberFormat="1" applyFont="1" applyFill="1" applyBorder="1" applyAlignment="1">
      <alignment horizontal="left" vertical="top" wrapText="1"/>
    </xf>
    <xf numFmtId="0" fontId="14" fillId="0" borderId="40" xfId="0" applyNumberFormat="1" applyFont="1" applyFill="1" applyBorder="1" applyAlignment="1">
      <alignment horizontal="left" vertical="top" wrapText="1"/>
    </xf>
    <xf numFmtId="0" fontId="14" fillId="0" borderId="31" xfId="0" applyNumberFormat="1" applyFont="1" applyFill="1" applyBorder="1" applyAlignment="1">
      <alignment horizontal="left" vertical="top" wrapText="1"/>
    </xf>
    <xf numFmtId="0" fontId="14" fillId="0" borderId="57" xfId="0" applyNumberFormat="1" applyFont="1" applyFill="1" applyBorder="1" applyAlignment="1">
      <alignment horizontal="left" vertical="top" wrapText="1"/>
    </xf>
    <xf numFmtId="0" fontId="14" fillId="0" borderId="19" xfId="0" applyNumberFormat="1" applyFont="1" applyFill="1" applyBorder="1" applyAlignment="1">
      <alignment horizontal="left" vertical="top" wrapText="1"/>
    </xf>
    <xf numFmtId="0" fontId="14" fillId="0" borderId="59"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xf numFmtId="0" fontId="14" fillId="0" borderId="10" xfId="0" applyNumberFormat="1" applyFont="1" applyFill="1" applyBorder="1" applyAlignment="1">
      <alignment horizontal="left" vertical="top" wrapText="1"/>
    </xf>
    <xf numFmtId="0" fontId="14" fillId="0" borderId="0" xfId="0" applyFont="1" applyAlignment="1" applyProtection="1">
      <alignment horizontal="center" vertical="top" wrapText="1"/>
      <protection hidden="1"/>
    </xf>
    <xf numFmtId="0" fontId="56" fillId="4" borderId="76" xfId="0" applyFont="1" applyFill="1" applyBorder="1" applyAlignment="1">
      <alignment horizontal="center" vertical="top" wrapText="1"/>
    </xf>
    <xf numFmtId="0" fontId="14" fillId="0" borderId="31" xfId="0" applyFont="1" applyFill="1" applyBorder="1" applyAlignment="1">
      <alignment vertical="top" wrapText="1"/>
    </xf>
    <xf numFmtId="0" fontId="14" fillId="0" borderId="57" xfId="0" applyFont="1" applyFill="1" applyBorder="1" applyAlignment="1">
      <alignment vertical="top" wrapText="1"/>
    </xf>
    <xf numFmtId="0" fontId="14" fillId="0" borderId="19" xfId="0" applyFont="1" applyFill="1" applyBorder="1" applyAlignment="1">
      <alignment vertical="top" wrapText="1"/>
    </xf>
    <xf numFmtId="1" fontId="14" fillId="0" borderId="13" xfId="0" applyNumberFormat="1" applyFont="1" applyBorder="1" applyAlignment="1">
      <alignment horizontal="left" vertical="top" wrapText="1"/>
    </xf>
    <xf numFmtId="1" fontId="14" fillId="0" borderId="20" xfId="0" applyNumberFormat="1" applyFont="1" applyFill="1" applyBorder="1" applyAlignment="1">
      <alignment vertical="top" wrapText="1"/>
    </xf>
    <xf numFmtId="0" fontId="14" fillId="0" borderId="27" xfId="0" applyFont="1" applyBorder="1" applyAlignment="1">
      <alignment horizontal="left" vertical="top" wrapText="1"/>
    </xf>
    <xf numFmtId="0" fontId="14" fillId="0" borderId="31" xfId="0" applyFont="1" applyBorder="1" applyAlignment="1">
      <alignment vertical="top" wrapText="1"/>
    </xf>
    <xf numFmtId="0" fontId="14" fillId="0" borderId="57" xfId="0" applyFont="1" applyBorder="1" applyAlignment="1">
      <alignment vertical="top" wrapText="1"/>
    </xf>
    <xf numFmtId="0" fontId="14" fillId="0" borderId="19" xfId="0" applyFont="1" applyBorder="1" applyAlignment="1">
      <alignment vertical="top" wrapText="1"/>
    </xf>
    <xf numFmtId="0" fontId="14" fillId="0" borderId="51" xfId="0" applyFont="1" applyBorder="1" applyAlignment="1">
      <alignment horizontal="left" vertical="top" wrapText="1"/>
    </xf>
    <xf numFmtId="0" fontId="14" fillId="0" borderId="6" xfId="0" applyFont="1" applyBorder="1" applyAlignment="1">
      <alignment horizontal="left" vertical="top" wrapText="1"/>
    </xf>
    <xf numFmtId="0" fontId="14" fillId="0" borderId="45" xfId="0" applyFont="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91" xfId="0" applyFont="1" applyBorder="1" applyAlignment="1">
      <alignment horizontal="left" vertical="top" wrapText="1"/>
    </xf>
    <xf numFmtId="0" fontId="14" fillId="0" borderId="25" xfId="0" applyFont="1" applyBorder="1" applyAlignment="1">
      <alignment horizontal="left" vertical="top" wrapText="1"/>
    </xf>
    <xf numFmtId="0" fontId="14" fillId="0" borderId="18" xfId="0" applyFont="1" applyBorder="1" applyAlignment="1">
      <alignment horizontal="left" vertical="top" wrapText="1"/>
    </xf>
    <xf numFmtId="0" fontId="14" fillId="0" borderId="107" xfId="0" applyFont="1" applyBorder="1" applyAlignment="1">
      <alignment horizontal="left" vertical="top" wrapText="1"/>
    </xf>
    <xf numFmtId="1" fontId="35" fillId="0" borderId="57" xfId="0" applyNumberFormat="1" applyFont="1" applyBorder="1" applyAlignment="1">
      <alignment horizontal="center" vertical="top" wrapText="1"/>
    </xf>
    <xf numFmtId="1" fontId="35" fillId="0" borderId="0" xfId="0" applyNumberFormat="1" applyFont="1" applyBorder="1" applyAlignment="1">
      <alignment horizontal="center" vertical="top" wrapText="1"/>
    </xf>
    <xf numFmtId="0" fontId="47" fillId="0" borderId="27" xfId="0" applyFont="1" applyBorder="1" applyAlignment="1">
      <alignment horizontal="left" vertical="top" wrapText="1"/>
    </xf>
    <xf numFmtId="0" fontId="47" fillId="0" borderId="67" xfId="0" applyFont="1" applyBorder="1" applyAlignment="1">
      <alignment horizontal="left" vertical="top" wrapText="1"/>
    </xf>
    <xf numFmtId="0" fontId="47" fillId="0" borderId="68" xfId="0" applyFont="1" applyBorder="1" applyAlignment="1">
      <alignment horizontal="left" vertical="top" wrapText="1"/>
    </xf>
    <xf numFmtId="0" fontId="47" fillId="0" borderId="27" xfId="0" applyFont="1" applyFill="1" applyBorder="1" applyAlignment="1">
      <alignment horizontal="left" vertical="top" wrapText="1"/>
    </xf>
    <xf numFmtId="49" fontId="14" fillId="0" borderId="31" xfId="0" applyNumberFormat="1" applyFont="1" applyFill="1" applyBorder="1" applyAlignment="1">
      <alignment horizontal="left" vertical="top" wrapText="1"/>
    </xf>
    <xf numFmtId="49" fontId="14" fillId="0" borderId="57" xfId="0" applyNumberFormat="1" applyFont="1" applyFill="1" applyBorder="1" applyAlignment="1">
      <alignment horizontal="left" vertical="top" wrapText="1"/>
    </xf>
    <xf numFmtId="49" fontId="14" fillId="0" borderId="19" xfId="0" applyNumberFormat="1" applyFont="1" applyFill="1" applyBorder="1" applyAlignment="1">
      <alignment horizontal="left" vertical="top" wrapText="1"/>
    </xf>
    <xf numFmtId="0" fontId="47" fillId="0" borderId="83" xfId="0" applyFont="1" applyFill="1" applyBorder="1" applyAlignment="1">
      <alignment horizontal="left" vertical="top" wrapText="1"/>
    </xf>
    <xf numFmtId="0" fontId="18" fillId="0" borderId="26" xfId="0" applyFont="1" applyBorder="1" applyAlignment="1">
      <alignment horizontal="left" vertical="top"/>
    </xf>
    <xf numFmtId="0" fontId="18" fillId="0" borderId="40" xfId="0" applyFont="1" applyBorder="1" applyAlignment="1">
      <alignment horizontal="left" vertical="top"/>
    </xf>
    <xf numFmtId="0" fontId="47" fillId="0" borderId="36" xfId="0" applyFont="1" applyFill="1" applyBorder="1" applyAlignment="1">
      <alignment horizontal="left" vertical="top" wrapText="1"/>
    </xf>
    <xf numFmtId="0" fontId="14" fillId="0" borderId="0" xfId="0" applyFont="1" applyFill="1" applyBorder="1" applyAlignment="1" applyProtection="1">
      <alignment horizontal="center" vertical="top" wrapText="1"/>
      <protection hidden="1"/>
    </xf>
    <xf numFmtId="0" fontId="14" fillId="0" borderId="70" xfId="0" applyFont="1" applyBorder="1" applyAlignment="1">
      <alignment horizontal="left" vertical="top" wrapText="1"/>
    </xf>
    <xf numFmtId="0" fontId="14" fillId="0" borderId="65" xfId="0" applyFont="1" applyBorder="1" applyAlignment="1">
      <alignment horizontal="left" vertical="top" wrapText="1"/>
    </xf>
    <xf numFmtId="0" fontId="14" fillId="0" borderId="112" xfId="0" applyFont="1" applyBorder="1" applyAlignment="1">
      <alignment horizontal="left" vertical="top" wrapText="1"/>
    </xf>
    <xf numFmtId="0" fontId="47" fillId="0" borderId="20" xfId="0" applyFont="1" applyFill="1" applyBorder="1" applyAlignment="1">
      <alignment vertical="top" wrapText="1"/>
    </xf>
    <xf numFmtId="0" fontId="47" fillId="0" borderId="26" xfId="0" applyFont="1" applyFill="1" applyBorder="1" applyAlignment="1">
      <alignment vertical="top" wrapText="1"/>
    </xf>
    <xf numFmtId="1" fontId="14" fillId="0" borderId="19" xfId="0" applyNumberFormat="1" applyFont="1" applyBorder="1" applyAlignment="1">
      <alignment horizontal="center" vertical="top" wrapText="1"/>
    </xf>
    <xf numFmtId="1" fontId="14" fillId="0" borderId="10" xfId="0" applyNumberFormat="1" applyFont="1" applyBorder="1" applyAlignment="1">
      <alignment horizontal="center" vertical="top" wrapText="1"/>
    </xf>
    <xf numFmtId="1" fontId="14" fillId="0" borderId="68" xfId="0" applyNumberFormat="1" applyFont="1" applyBorder="1" applyAlignment="1">
      <alignment horizontal="center" vertical="top" wrapText="1"/>
    </xf>
    <xf numFmtId="0" fontId="47" fillId="0" borderId="20" xfId="0" applyFont="1" applyBorder="1" applyAlignment="1">
      <alignment horizontal="left" vertical="top" wrapText="1"/>
    </xf>
    <xf numFmtId="0" fontId="47" fillId="0" borderId="26" xfId="0" applyFont="1" applyBorder="1" applyAlignment="1">
      <alignment horizontal="left" vertical="top" wrapText="1"/>
    </xf>
    <xf numFmtId="0" fontId="47" fillId="0" borderId="40" xfId="0" applyFont="1" applyBorder="1" applyAlignment="1">
      <alignment horizontal="left" vertical="top" wrapText="1"/>
    </xf>
    <xf numFmtId="0" fontId="47" fillId="0" borderId="40" xfId="0" applyFont="1" applyFill="1" applyBorder="1" applyAlignment="1">
      <alignment vertical="top" wrapText="1"/>
    </xf>
    <xf numFmtId="0" fontId="47" fillId="0" borderId="17" xfId="0" applyFont="1" applyFill="1" applyBorder="1" applyAlignment="1">
      <alignment horizontal="left" vertical="top" wrapText="1"/>
    </xf>
    <xf numFmtId="0" fontId="47" fillId="0" borderId="112" xfId="0" applyFont="1" applyFill="1" applyBorder="1" applyAlignment="1">
      <alignment horizontal="left" vertical="top" wrapText="1"/>
    </xf>
    <xf numFmtId="0" fontId="47" fillId="0" borderId="21" xfId="0" applyFont="1" applyFill="1" applyBorder="1" applyAlignment="1">
      <alignment horizontal="left" vertical="top" wrapText="1"/>
    </xf>
    <xf numFmtId="0" fontId="47" fillId="0" borderId="83" xfId="0" applyNumberFormat="1" applyFont="1" applyFill="1" applyBorder="1" applyAlignment="1">
      <alignment horizontal="left" vertical="top" wrapText="1"/>
    </xf>
    <xf numFmtId="0" fontId="47" fillId="0" borderId="108" xfId="0" applyNumberFormat="1" applyFont="1" applyFill="1" applyBorder="1" applyAlignment="1">
      <alignment horizontal="left" vertical="top" wrapText="1"/>
    </xf>
    <xf numFmtId="0" fontId="47" fillId="0" borderId="28" xfId="0" applyNumberFormat="1" applyFont="1" applyFill="1" applyBorder="1" applyAlignment="1">
      <alignment horizontal="left" vertical="top" wrapText="1"/>
    </xf>
    <xf numFmtId="0" fontId="47" fillId="0" borderId="20" xfId="0" applyFont="1" applyBorder="1" applyAlignment="1">
      <alignment vertical="top" wrapText="1"/>
    </xf>
    <xf numFmtId="0" fontId="47" fillId="0" borderId="26" xfId="0" applyFont="1" applyBorder="1" applyAlignment="1">
      <alignment vertical="top" wrapText="1"/>
    </xf>
    <xf numFmtId="0" fontId="47" fillId="0" borderId="40" xfId="0" applyFont="1" applyBorder="1" applyAlignment="1">
      <alignment vertical="top" wrapText="1"/>
    </xf>
    <xf numFmtId="0" fontId="14" fillId="0" borderId="118" xfId="0" applyFont="1" applyFill="1" applyBorder="1" applyAlignment="1">
      <alignment horizontal="left" vertical="top" wrapText="1"/>
    </xf>
    <xf numFmtId="0" fontId="50" fillId="0" borderId="20" xfId="0" applyFont="1" applyFill="1" applyBorder="1" applyAlignment="1">
      <alignment vertical="top" wrapText="1"/>
    </xf>
    <xf numFmtId="1" fontId="47" fillId="0" borderId="20" xfId="0" applyNumberFormat="1" applyFont="1" applyFill="1" applyBorder="1" applyAlignment="1">
      <alignment horizontal="left" vertical="top" wrapText="1"/>
    </xf>
    <xf numFmtId="1" fontId="47" fillId="0" borderId="26" xfId="0" applyNumberFormat="1" applyFont="1" applyFill="1" applyBorder="1" applyAlignment="1">
      <alignment horizontal="left" vertical="top" wrapText="1"/>
    </xf>
    <xf numFmtId="1" fontId="47" fillId="0" borderId="40" xfId="0" applyNumberFormat="1" applyFont="1" applyFill="1" applyBorder="1" applyAlignment="1">
      <alignment horizontal="left" vertical="top" wrapText="1"/>
    </xf>
    <xf numFmtId="49" fontId="47" fillId="0" borderId="20" xfId="0" applyNumberFormat="1" applyFont="1" applyFill="1" applyBorder="1" applyAlignment="1">
      <alignment horizontal="left" vertical="top" wrapText="1"/>
    </xf>
    <xf numFmtId="49" fontId="47" fillId="0" borderId="26" xfId="0" applyNumberFormat="1" applyFont="1" applyFill="1" applyBorder="1" applyAlignment="1">
      <alignment horizontal="left" vertical="top" wrapText="1"/>
    </xf>
    <xf numFmtId="49" fontId="47" fillId="0" borderId="40" xfId="0" applyNumberFormat="1" applyFont="1" applyFill="1" applyBorder="1" applyAlignment="1">
      <alignment horizontal="left" vertical="top" wrapText="1"/>
    </xf>
    <xf numFmtId="0" fontId="14" fillId="0" borderId="20" xfId="0" applyFont="1" applyBorder="1" applyAlignment="1">
      <alignment horizontal="left" vertical="top"/>
    </xf>
    <xf numFmtId="0" fontId="14" fillId="0" borderId="26" xfId="0" applyFont="1" applyBorder="1" applyAlignment="1">
      <alignment horizontal="left" vertical="top"/>
    </xf>
    <xf numFmtId="0" fontId="14" fillId="0" borderId="40" xfId="0" applyFont="1" applyBorder="1" applyAlignment="1">
      <alignment horizontal="left" vertical="top"/>
    </xf>
    <xf numFmtId="0" fontId="14" fillId="0" borderId="27" xfId="0" applyNumberFormat="1" applyFont="1" applyFill="1" applyBorder="1" applyAlignment="1">
      <alignment horizontal="left" vertical="top"/>
    </xf>
    <xf numFmtId="0" fontId="14" fillId="0" borderId="62" xfId="0" applyNumberFormat="1" applyFont="1" applyFill="1" applyBorder="1" applyAlignment="1">
      <alignment horizontal="left" vertical="top"/>
    </xf>
    <xf numFmtId="0" fontId="14" fillId="0" borderId="52" xfId="0" applyFont="1" applyFill="1" applyBorder="1" applyAlignment="1">
      <alignment horizontal="left" vertical="top"/>
    </xf>
    <xf numFmtId="0" fontId="14" fillId="0" borderId="13" xfId="0" applyFont="1" applyFill="1" applyBorder="1" applyAlignment="1">
      <alignment horizontal="left" vertical="top"/>
    </xf>
    <xf numFmtId="0" fontId="47" fillId="0" borderId="20" xfId="0" applyNumberFormat="1" applyFont="1" applyFill="1" applyBorder="1" applyAlignment="1">
      <alignment horizontal="left" vertical="top" wrapText="1"/>
    </xf>
    <xf numFmtId="0" fontId="47" fillId="0" borderId="40" xfId="0" applyNumberFormat="1" applyFont="1" applyFill="1" applyBorder="1" applyAlignment="1">
      <alignment horizontal="left" vertical="top" wrapText="1"/>
    </xf>
    <xf numFmtId="1" fontId="14" fillId="0" borderId="31" xfId="0" applyNumberFormat="1" applyFont="1" applyFill="1" applyBorder="1" applyAlignment="1">
      <alignment vertical="top" wrapText="1"/>
    </xf>
    <xf numFmtId="1" fontId="42" fillId="0" borderId="19" xfId="0" applyNumberFormat="1" applyFont="1" applyBorder="1" applyAlignment="1">
      <alignment horizontal="center" vertical="top"/>
    </xf>
    <xf numFmtId="1" fontId="42" fillId="0" borderId="10" xfId="0" applyNumberFormat="1" applyFont="1" applyBorder="1" applyAlignment="1">
      <alignment horizontal="center" vertical="top"/>
    </xf>
    <xf numFmtId="1" fontId="42" fillId="0" borderId="68" xfId="0" applyNumberFormat="1" applyFont="1" applyBorder="1" applyAlignment="1">
      <alignment horizontal="center" vertical="top"/>
    </xf>
    <xf numFmtId="0" fontId="14" fillId="0" borderId="27" xfId="0" applyFont="1" applyBorder="1" applyAlignment="1">
      <alignment horizontal="left" vertical="top"/>
    </xf>
    <xf numFmtId="0" fontId="14" fillId="0" borderId="67" xfId="0" applyFont="1" applyBorder="1" applyAlignment="1">
      <alignment horizontal="left" vertical="top"/>
    </xf>
    <xf numFmtId="0" fontId="14" fillId="0" borderId="68" xfId="0" applyFont="1" applyBorder="1" applyAlignment="1">
      <alignment horizontal="left" vertical="top"/>
    </xf>
    <xf numFmtId="0" fontId="47" fillId="0" borderId="17" xfId="0" applyFont="1" applyFill="1" applyBorder="1" applyAlignment="1">
      <alignment vertical="top" wrapText="1"/>
    </xf>
    <xf numFmtId="0" fontId="47" fillId="0" borderId="112" xfId="0" applyFont="1" applyFill="1" applyBorder="1" applyAlignment="1">
      <alignment vertical="top" wrapText="1"/>
    </xf>
    <xf numFmtId="0" fontId="47" fillId="0" borderId="107" xfId="0" applyFont="1" applyFill="1" applyBorder="1" applyAlignment="1">
      <alignment vertical="top" wrapText="1"/>
    </xf>
    <xf numFmtId="0" fontId="47" fillId="0" borderId="25" xfId="0" applyFont="1" applyFill="1" applyBorder="1" applyAlignment="1">
      <alignment vertical="top" wrapText="1"/>
    </xf>
    <xf numFmtId="0" fontId="47" fillId="0" borderId="18" xfId="0" applyFont="1" applyFill="1" applyBorder="1" applyAlignment="1">
      <alignment vertical="top" wrapText="1"/>
    </xf>
    <xf numFmtId="0" fontId="47" fillId="0" borderId="21" xfId="0" applyFont="1" applyFill="1" applyBorder="1" applyAlignment="1">
      <alignment vertical="top" wrapText="1"/>
    </xf>
    <xf numFmtId="0" fontId="47" fillId="0" borderId="118" xfId="0" applyFont="1" applyFill="1" applyBorder="1" applyAlignment="1">
      <alignment vertical="top" wrapText="1"/>
    </xf>
    <xf numFmtId="0" fontId="47" fillId="0" borderId="118" xfId="0" applyFont="1" applyFill="1" applyBorder="1" applyAlignment="1">
      <alignment horizontal="left" vertical="top" wrapText="1"/>
    </xf>
    <xf numFmtId="0" fontId="47" fillId="0" borderId="107" xfId="0" applyFont="1" applyFill="1" applyBorder="1" applyAlignment="1">
      <alignment horizontal="left" vertical="top" wrapText="1"/>
    </xf>
    <xf numFmtId="1" fontId="14" fillId="0" borderId="19" xfId="0" applyNumberFormat="1" applyFont="1" applyFill="1" applyBorder="1" applyAlignment="1">
      <alignment horizontal="center" vertical="top"/>
    </xf>
    <xf numFmtId="1" fontId="14" fillId="0" borderId="10" xfId="0" applyNumberFormat="1" applyFont="1" applyFill="1" applyBorder="1" applyAlignment="1">
      <alignment horizontal="center" vertical="top"/>
    </xf>
    <xf numFmtId="1" fontId="14" fillId="0" borderId="68" xfId="0" applyNumberFormat="1" applyFont="1" applyFill="1" applyBorder="1" applyAlignment="1">
      <alignment horizontal="center" vertical="top"/>
    </xf>
    <xf numFmtId="0" fontId="56" fillId="4" borderId="9" xfId="0" applyFont="1" applyFill="1" applyBorder="1" applyAlignment="1">
      <alignment horizontal="center" vertical="top" wrapText="1"/>
    </xf>
    <xf numFmtId="0" fontId="47" fillId="0" borderId="21" xfId="0" applyFont="1" applyBorder="1" applyAlignment="1">
      <alignment vertical="top" wrapText="1"/>
    </xf>
    <xf numFmtId="1" fontId="47" fillId="0" borderId="26" xfId="0" applyNumberFormat="1" applyFont="1" applyFill="1" applyBorder="1" applyAlignment="1">
      <alignment vertical="top" wrapText="1"/>
    </xf>
    <xf numFmtId="0" fontId="14" fillId="0" borderId="22"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24" xfId="0" applyFont="1" applyFill="1" applyBorder="1" applyAlignment="1">
      <alignment horizontal="left" vertical="top" wrapText="1"/>
    </xf>
    <xf numFmtId="2" fontId="14" fillId="11" borderId="20" xfId="0" applyNumberFormat="1" applyFont="1" applyFill="1" applyBorder="1" applyAlignment="1">
      <alignment horizontal="left" vertical="top" wrapText="1"/>
    </xf>
    <xf numFmtId="2" fontId="14" fillId="11" borderId="40" xfId="0" applyNumberFormat="1" applyFont="1" applyFill="1" applyBorder="1" applyAlignment="1">
      <alignment horizontal="left" vertical="top" wrapText="1"/>
    </xf>
    <xf numFmtId="0" fontId="14" fillId="0" borderId="83" xfId="0" applyFont="1" applyFill="1" applyBorder="1" applyAlignment="1">
      <alignment horizontal="left" vertical="top" wrapText="1"/>
    </xf>
    <xf numFmtId="0" fontId="14" fillId="0" borderId="108" xfId="0" applyFont="1" applyFill="1" applyBorder="1" applyAlignment="1">
      <alignment horizontal="left" vertical="top" wrapText="1"/>
    </xf>
    <xf numFmtId="0" fontId="14" fillId="0" borderId="28" xfId="0" applyFont="1" applyFill="1" applyBorder="1" applyAlignment="1">
      <alignment horizontal="left" vertical="top" wrapText="1"/>
    </xf>
    <xf numFmtId="2" fontId="14" fillId="0" borderId="20" xfId="0" applyNumberFormat="1" applyFont="1" applyFill="1" applyBorder="1" applyAlignment="1">
      <alignment horizontal="left" vertical="top" wrapText="1"/>
    </xf>
    <xf numFmtId="2" fontId="14" fillId="0" borderId="26" xfId="0" applyNumberFormat="1" applyFont="1" applyFill="1" applyBorder="1" applyAlignment="1">
      <alignment horizontal="left" vertical="top" wrapText="1"/>
    </xf>
    <xf numFmtId="2" fontId="14" fillId="0" borderId="20" xfId="0" applyNumberFormat="1" applyFont="1" applyBorder="1" applyAlignment="1">
      <alignment horizontal="left" vertical="top" wrapText="1"/>
    </xf>
    <xf numFmtId="2" fontId="14" fillId="0" borderId="26" xfId="0" applyNumberFormat="1" applyFont="1" applyBorder="1" applyAlignment="1">
      <alignment horizontal="left" vertical="top" wrapText="1"/>
    </xf>
    <xf numFmtId="2" fontId="14" fillId="0" borderId="40" xfId="0" applyNumberFormat="1" applyFont="1" applyBorder="1" applyAlignment="1">
      <alignment horizontal="left" vertical="top" wrapText="1"/>
    </xf>
    <xf numFmtId="2" fontId="14" fillId="0" borderId="40" xfId="0" applyNumberFormat="1" applyFont="1" applyFill="1" applyBorder="1" applyAlignment="1">
      <alignment horizontal="left" vertical="top" wrapText="1"/>
    </xf>
    <xf numFmtId="2" fontId="14" fillId="0" borderId="31" xfId="0" applyNumberFormat="1" applyFont="1" applyFill="1" applyBorder="1" applyAlignment="1">
      <alignment horizontal="left" vertical="top" wrapText="1"/>
    </xf>
    <xf numFmtId="2" fontId="14" fillId="0" borderId="57" xfId="0" applyNumberFormat="1" applyFont="1" applyFill="1" applyBorder="1" applyAlignment="1">
      <alignment horizontal="left" vertical="top" wrapText="1"/>
    </xf>
    <xf numFmtId="2" fontId="14" fillId="0" borderId="19" xfId="0" applyNumberFormat="1" applyFont="1" applyFill="1" applyBorder="1" applyAlignment="1">
      <alignment horizontal="left" vertical="top" wrapText="1"/>
    </xf>
    <xf numFmtId="2" fontId="14" fillId="0" borderId="13" xfId="0" applyNumberFormat="1" applyFont="1" applyFill="1" applyBorder="1" applyAlignment="1">
      <alignment horizontal="left" vertical="top" wrapText="1"/>
    </xf>
    <xf numFmtId="2" fontId="14" fillId="0" borderId="118" xfId="0" applyNumberFormat="1" applyFont="1" applyFill="1" applyBorder="1" applyAlignment="1">
      <alignment horizontal="left" vertical="top" wrapText="1"/>
    </xf>
    <xf numFmtId="2" fontId="14" fillId="0" borderId="112" xfId="0" applyNumberFormat="1" applyFont="1" applyFill="1" applyBorder="1" applyAlignment="1">
      <alignment horizontal="left" vertical="top" wrapText="1"/>
    </xf>
    <xf numFmtId="2" fontId="14" fillId="0" borderId="20" xfId="0" applyNumberFormat="1" applyFont="1" applyFill="1" applyBorder="1" applyAlignment="1">
      <alignment vertical="top" wrapText="1"/>
    </xf>
    <xf numFmtId="0" fontId="56" fillId="4" borderId="76" xfId="0" applyFont="1" applyFill="1" applyBorder="1" applyAlignment="1">
      <alignment vertical="top" wrapText="1"/>
    </xf>
    <xf numFmtId="2" fontId="14" fillId="0" borderId="31" xfId="0" applyNumberFormat="1" applyFont="1" applyBorder="1" applyAlignment="1">
      <alignment horizontal="left" vertical="top" wrapText="1"/>
    </xf>
    <xf numFmtId="2" fontId="14" fillId="0" borderId="57" xfId="0" applyNumberFormat="1" applyFont="1" applyBorder="1" applyAlignment="1">
      <alignment horizontal="left" vertical="top" wrapText="1"/>
    </xf>
    <xf numFmtId="2" fontId="14" fillId="0" borderId="19" xfId="0" applyNumberFormat="1" applyFont="1" applyBorder="1" applyAlignment="1">
      <alignment horizontal="left" vertical="top" wrapText="1"/>
    </xf>
    <xf numFmtId="2" fontId="14" fillId="0" borderId="31" xfId="0" applyNumberFormat="1" applyFont="1" applyFill="1" applyBorder="1" applyAlignment="1">
      <alignment vertical="top" wrapText="1"/>
    </xf>
    <xf numFmtId="2" fontId="14" fillId="0" borderId="57" xfId="0" applyNumberFormat="1" applyFont="1" applyFill="1" applyBorder="1" applyAlignment="1">
      <alignment vertical="top" wrapText="1"/>
    </xf>
    <xf numFmtId="2" fontId="14" fillId="0" borderId="26" xfId="0" applyNumberFormat="1" applyFont="1" applyFill="1" applyBorder="1" applyAlignment="1">
      <alignment vertical="top" wrapText="1"/>
    </xf>
    <xf numFmtId="2" fontId="14" fillId="0" borderId="19" xfId="0" applyNumberFormat="1" applyFont="1" applyFill="1" applyBorder="1" applyAlignment="1">
      <alignment vertical="top" wrapText="1"/>
    </xf>
    <xf numFmtId="2" fontId="14" fillId="0" borderId="40" xfId="0" applyNumberFormat="1" applyFont="1" applyFill="1" applyBorder="1" applyAlignment="1">
      <alignment vertical="top" wrapText="1"/>
    </xf>
    <xf numFmtId="2" fontId="14" fillId="0" borderId="13" xfId="0" applyNumberFormat="1" applyFont="1" applyFill="1" applyBorder="1" applyAlignment="1">
      <alignment vertical="top" wrapText="1"/>
    </xf>
    <xf numFmtId="2" fontId="14" fillId="0" borderId="31" xfId="0" applyNumberFormat="1" applyFont="1" applyBorder="1" applyAlignment="1">
      <alignment vertical="top" wrapText="1"/>
    </xf>
    <xf numFmtId="2" fontId="14" fillId="0" borderId="20" xfId="0" applyNumberFormat="1" applyFont="1" applyBorder="1" applyAlignment="1">
      <alignment vertical="top" wrapText="1"/>
    </xf>
    <xf numFmtId="0" fontId="18" fillId="0" borderId="57" xfId="0" applyFont="1" applyBorder="1" applyAlignment="1">
      <alignment horizontal="left" vertical="top"/>
    </xf>
    <xf numFmtId="0" fontId="18" fillId="0" borderId="19" xfId="0" applyFont="1" applyBorder="1" applyAlignment="1">
      <alignment horizontal="left" vertical="top"/>
    </xf>
    <xf numFmtId="0" fontId="18" fillId="0" borderId="26" xfId="0" applyFont="1" applyBorder="1" applyAlignment="1">
      <alignment vertical="top"/>
    </xf>
    <xf numFmtId="0" fontId="18" fillId="0" borderId="40" xfId="0" applyFont="1" applyBorder="1" applyAlignment="1">
      <alignment vertical="top"/>
    </xf>
    <xf numFmtId="0" fontId="18" fillId="0" borderId="13" xfId="0" applyFont="1" applyBorder="1" applyAlignment="1">
      <alignment horizontal="left" vertical="top"/>
    </xf>
    <xf numFmtId="1" fontId="47" fillId="0" borderId="27" xfId="0" applyNumberFormat="1" applyFont="1" applyFill="1" applyBorder="1" applyAlignment="1">
      <alignment horizontal="left" vertical="top" wrapText="1"/>
    </xf>
    <xf numFmtId="0" fontId="76" fillId="0" borderId="41" xfId="0" applyFont="1" applyBorder="1">
      <alignment vertical="top"/>
    </xf>
    <xf numFmtId="0" fontId="18" fillId="0" borderId="26" xfId="0" applyFont="1" applyFill="1" applyBorder="1" applyAlignment="1">
      <alignment vertical="top"/>
    </xf>
    <xf numFmtId="0" fontId="18" fillId="0" borderId="40" xfId="0" applyFont="1" applyFill="1" applyBorder="1" applyAlignment="1">
      <alignment vertical="top"/>
    </xf>
    <xf numFmtId="0" fontId="47" fillId="0" borderId="13" xfId="0" applyFont="1" applyBorder="1" applyAlignment="1">
      <alignment horizontal="left" vertical="top" wrapText="1"/>
    </xf>
    <xf numFmtId="2" fontId="14" fillId="0" borderId="0" xfId="0" applyNumberFormat="1" applyFont="1" applyFill="1" applyBorder="1" applyAlignment="1">
      <alignment horizontal="left" vertical="top" wrapText="1"/>
    </xf>
    <xf numFmtId="0" fontId="14" fillId="11" borderId="20" xfId="0" applyFont="1" applyFill="1" applyBorder="1" applyAlignment="1">
      <alignment horizontal="left" vertical="top" wrapText="1"/>
    </xf>
    <xf numFmtId="0" fontId="14" fillId="11" borderId="26" xfId="0" applyFont="1" applyFill="1" applyBorder="1" applyAlignment="1">
      <alignment horizontal="left" vertical="top" wrapText="1"/>
    </xf>
    <xf numFmtId="0" fontId="14" fillId="11" borderId="40" xfId="0" applyFont="1" applyFill="1" applyBorder="1" applyAlignment="1">
      <alignment horizontal="left" vertical="top" wrapText="1"/>
    </xf>
    <xf numFmtId="0" fontId="14" fillId="11" borderId="31" xfId="0" applyFont="1" applyFill="1" applyBorder="1" applyAlignment="1">
      <alignment horizontal="left" vertical="top" wrapText="1"/>
    </xf>
    <xf numFmtId="0" fontId="14" fillId="11" borderId="57" xfId="0" applyFont="1" applyFill="1" applyBorder="1" applyAlignment="1">
      <alignment horizontal="left" vertical="top" wrapText="1"/>
    </xf>
    <xf numFmtId="0" fontId="14" fillId="11" borderId="19" xfId="0" applyFont="1" applyFill="1" applyBorder="1" applyAlignment="1">
      <alignment horizontal="left" vertical="top" wrapText="1"/>
    </xf>
    <xf numFmtId="49" fontId="14" fillId="0" borderId="13" xfId="0" applyNumberFormat="1" applyFont="1" applyFill="1" applyBorder="1" applyAlignment="1">
      <alignment horizontal="left" vertical="top" wrapText="1"/>
    </xf>
    <xf numFmtId="1" fontId="14" fillId="0" borderId="13" xfId="0" applyNumberFormat="1" applyFont="1" applyFill="1" applyBorder="1" applyAlignment="1">
      <alignment horizontal="left" vertical="top" wrapText="1"/>
    </xf>
    <xf numFmtId="49" fontId="56" fillId="4" borderId="72" xfId="0" applyNumberFormat="1" applyFont="1" applyFill="1" applyBorder="1" applyAlignment="1">
      <alignment horizontal="center" vertical="top" wrapText="1"/>
    </xf>
    <xf numFmtId="49" fontId="56" fillId="4" borderId="76" xfId="0" applyNumberFormat="1" applyFont="1" applyFill="1" applyBorder="1" applyAlignment="1">
      <alignment horizontal="center" vertical="top" wrapText="1"/>
    </xf>
    <xf numFmtId="0" fontId="14" fillId="0" borderId="0" xfId="0" applyFont="1" applyFill="1" applyBorder="1" applyAlignment="1">
      <alignment horizontal="left" vertical="top" wrapText="1"/>
    </xf>
    <xf numFmtId="49" fontId="14" fillId="0" borderId="20" xfId="0" applyNumberFormat="1" applyFont="1" applyBorder="1" applyAlignment="1">
      <alignment horizontal="left" vertical="top" wrapText="1"/>
    </xf>
    <xf numFmtId="49" fontId="14" fillId="0" borderId="26" xfId="0" applyNumberFormat="1" applyFont="1" applyBorder="1" applyAlignment="1">
      <alignment horizontal="left" vertical="top" wrapText="1"/>
    </xf>
    <xf numFmtId="49" fontId="14" fillId="0" borderId="40" xfId="0" applyNumberFormat="1" applyFont="1" applyBorder="1" applyAlignment="1">
      <alignment horizontal="left" vertical="top" wrapText="1"/>
    </xf>
    <xf numFmtId="0" fontId="14" fillId="0" borderId="25" xfId="0" applyFont="1" applyFill="1" applyBorder="1" applyAlignment="1">
      <alignment horizontal="left" vertical="top" wrapText="1"/>
    </xf>
    <xf numFmtId="0" fontId="14" fillId="0" borderId="8" xfId="0" applyFont="1" applyBorder="1" applyAlignment="1">
      <alignment horizontal="left" vertical="top" wrapText="1"/>
    </xf>
    <xf numFmtId="0" fontId="44" fillId="4" borderId="31" xfId="0" applyFont="1" applyFill="1" applyBorder="1" applyAlignment="1">
      <alignment horizontal="center" vertical="top" wrapText="1"/>
    </xf>
    <xf numFmtId="0" fontId="44" fillId="4" borderId="27" xfId="0" applyFont="1" applyFill="1" applyBorder="1" applyAlignment="1">
      <alignment horizontal="left" vertical="top" wrapText="1"/>
    </xf>
    <xf numFmtId="0" fontId="14" fillId="0" borderId="80" xfId="0" applyFont="1" applyBorder="1" applyAlignment="1">
      <alignment horizontal="left" vertical="top" wrapText="1"/>
    </xf>
    <xf numFmtId="0" fontId="35" fillId="0" borderId="19" xfId="0" applyFont="1" applyBorder="1" applyAlignment="1">
      <alignment horizontal="center" wrapText="1"/>
    </xf>
    <xf numFmtId="0" fontId="35" fillId="0" borderId="10" xfId="0" applyFont="1" applyBorder="1" applyAlignment="1">
      <alignment horizontal="center" wrapText="1"/>
    </xf>
    <xf numFmtId="0" fontId="35" fillId="0" borderId="68" xfId="0" applyFont="1" applyBorder="1" applyAlignment="1">
      <alignment horizontal="center" wrapText="1"/>
    </xf>
    <xf numFmtId="0" fontId="61" fillId="0" borderId="0" xfId="3" applyFont="1" applyFill="1" applyBorder="1" applyAlignment="1" applyProtection="1">
      <alignment horizontal="center" vertical="center" wrapText="1"/>
      <protection hidden="1"/>
    </xf>
    <xf numFmtId="2" fontId="13" fillId="0" borderId="0" xfId="0" applyNumberFormat="1" applyFont="1" applyFill="1" applyBorder="1" applyAlignment="1" applyProtection="1">
      <alignment horizontal="center" vertical="top" wrapText="1"/>
      <protection locked="0"/>
    </xf>
    <xf numFmtId="0" fontId="78" fillId="0" borderId="117" xfId="0" applyFont="1" applyFill="1" applyBorder="1" applyAlignment="1">
      <alignment horizontal="center" vertical="top" wrapText="1"/>
    </xf>
    <xf numFmtId="0" fontId="78" fillId="0" borderId="115" xfId="0" applyFont="1" applyFill="1" applyBorder="1" applyAlignment="1">
      <alignment horizontal="center" vertical="top" wrapText="1"/>
    </xf>
    <xf numFmtId="0" fontId="34" fillId="0" borderId="1" xfId="0" applyFont="1" applyBorder="1" applyAlignment="1">
      <alignment horizontal="left" vertical="center" wrapText="1"/>
    </xf>
  </cellXfs>
  <cellStyles count="149">
    <cellStyle name="Normal" xfId="0" builtinId="0"/>
    <cellStyle name="Normal 2" xfId="1"/>
    <cellStyle name="Normal 3" xfId="2"/>
    <cellStyle name="Normal 4" xfId="3"/>
    <cellStyle name="Normal 4 10" xfId="77"/>
    <cellStyle name="Normal 4 2" xfId="4"/>
    <cellStyle name="Normal 4 2 2" xfId="6"/>
    <cellStyle name="Normal 4 2 2 2" xfId="10"/>
    <cellStyle name="Normal 4 2 2 2 2" xfId="26"/>
    <cellStyle name="Normal 4 2 2 2 2 2" xfId="62"/>
    <cellStyle name="Normal 4 2 2 2 2 2 2" xfId="134"/>
    <cellStyle name="Normal 4 2 2 2 2 3" xfId="98"/>
    <cellStyle name="Normal 4 2 2 2 3" xfId="20"/>
    <cellStyle name="Normal 4 2 2 2 3 2" xfId="57"/>
    <cellStyle name="Normal 4 2 2 2 3 2 2" xfId="129"/>
    <cellStyle name="Normal 4 2 2 2 3 3" xfId="93"/>
    <cellStyle name="Normal 4 2 2 2 4" xfId="36"/>
    <cellStyle name="Normal 4 2 2 2 4 2" xfId="72"/>
    <cellStyle name="Normal 4 2 2 2 4 2 2" xfId="144"/>
    <cellStyle name="Normal 4 2 2 2 4 3" xfId="108"/>
    <cellStyle name="Normal 4 2 2 2 5" xfId="48"/>
    <cellStyle name="Normal 4 2 2 2 5 2" xfId="120"/>
    <cellStyle name="Normal 4 2 2 2 6" xfId="84"/>
    <cellStyle name="Normal 4 2 2 3" xfId="25"/>
    <cellStyle name="Normal 4 2 2 3 2" xfId="61"/>
    <cellStyle name="Normal 4 2 2 3 2 2" xfId="133"/>
    <cellStyle name="Normal 4 2 2 3 3" xfId="97"/>
    <cellStyle name="Normal 4 2 2 4" xfId="16"/>
    <cellStyle name="Normal 4 2 2 4 2" xfId="53"/>
    <cellStyle name="Normal 4 2 2 4 2 2" xfId="125"/>
    <cellStyle name="Normal 4 2 2 4 3" xfId="89"/>
    <cellStyle name="Normal 4 2 2 5" xfId="35"/>
    <cellStyle name="Normal 4 2 2 5 2" xfId="71"/>
    <cellStyle name="Normal 4 2 2 5 2 2" xfId="143"/>
    <cellStyle name="Normal 4 2 2 5 3" xfId="107"/>
    <cellStyle name="Normal 4 2 2 6" xfId="44"/>
    <cellStyle name="Normal 4 2 2 6 2" xfId="116"/>
    <cellStyle name="Normal 4 2 2 7" xfId="80"/>
    <cellStyle name="Normal 4 2 3" xfId="8"/>
    <cellStyle name="Normal 4 2 3 2" xfId="27"/>
    <cellStyle name="Normal 4 2 3 2 2" xfId="63"/>
    <cellStyle name="Normal 4 2 3 2 2 2" xfId="135"/>
    <cellStyle name="Normal 4 2 3 2 3" xfId="99"/>
    <cellStyle name="Normal 4 2 3 3" xfId="18"/>
    <cellStyle name="Normal 4 2 3 3 2" xfId="55"/>
    <cellStyle name="Normal 4 2 3 3 2 2" xfId="127"/>
    <cellStyle name="Normal 4 2 3 3 3" xfId="91"/>
    <cellStyle name="Normal 4 2 3 4" xfId="37"/>
    <cellStyle name="Normal 4 2 3 4 2" xfId="73"/>
    <cellStyle name="Normal 4 2 3 4 2 2" xfId="145"/>
    <cellStyle name="Normal 4 2 3 4 3" xfId="109"/>
    <cellStyle name="Normal 4 2 3 5" xfId="46"/>
    <cellStyle name="Normal 4 2 3 5 2" xfId="118"/>
    <cellStyle name="Normal 4 2 3 6" xfId="82"/>
    <cellStyle name="Normal 4 2 4" xfId="24"/>
    <cellStyle name="Normal 4 2 4 2" xfId="60"/>
    <cellStyle name="Normal 4 2 4 2 2" xfId="132"/>
    <cellStyle name="Normal 4 2 4 3" xfId="96"/>
    <cellStyle name="Normal 4 2 5" xfId="14"/>
    <cellStyle name="Normal 4 2 5 2" xfId="51"/>
    <cellStyle name="Normal 4 2 5 2 2" xfId="123"/>
    <cellStyle name="Normal 4 2 5 3" xfId="87"/>
    <cellStyle name="Normal 4 2 6" xfId="33"/>
    <cellStyle name="Normal 4 2 6 2" xfId="69"/>
    <cellStyle name="Normal 4 2 6 2 2" xfId="141"/>
    <cellStyle name="Normal 4 2 6 3" xfId="105"/>
    <cellStyle name="Normal 4 2 7" xfId="42"/>
    <cellStyle name="Normal 4 2 7 2" xfId="114"/>
    <cellStyle name="Normal 4 2 8" xfId="78"/>
    <cellStyle name="Normal 4 3" xfId="5"/>
    <cellStyle name="Normal 4 3 2" xfId="9"/>
    <cellStyle name="Normal 4 3 2 2" xfId="29"/>
    <cellStyle name="Normal 4 3 2 2 2" xfId="65"/>
    <cellStyle name="Normal 4 3 2 2 2 2" xfId="137"/>
    <cellStyle name="Normal 4 3 2 2 3" xfId="101"/>
    <cellStyle name="Normal 4 3 2 3" xfId="19"/>
    <cellStyle name="Normal 4 3 2 3 2" xfId="56"/>
    <cellStyle name="Normal 4 3 2 3 2 2" xfId="128"/>
    <cellStyle name="Normal 4 3 2 3 3" xfId="92"/>
    <cellStyle name="Normal 4 3 2 4" xfId="38"/>
    <cellStyle name="Normal 4 3 2 4 2" xfId="74"/>
    <cellStyle name="Normal 4 3 2 4 2 2" xfId="146"/>
    <cellStyle name="Normal 4 3 2 4 3" xfId="110"/>
    <cellStyle name="Normal 4 3 2 5" xfId="47"/>
    <cellStyle name="Normal 4 3 2 5 2" xfId="119"/>
    <cellStyle name="Normal 4 3 2 6" xfId="83"/>
    <cellStyle name="Normal 4 3 3" xfId="28"/>
    <cellStyle name="Normal 4 3 3 2" xfId="64"/>
    <cellStyle name="Normal 4 3 3 2 2" xfId="136"/>
    <cellStyle name="Normal 4 3 3 3" xfId="100"/>
    <cellStyle name="Normal 4 3 4" xfId="15"/>
    <cellStyle name="Normal 4 3 4 2" xfId="52"/>
    <cellStyle name="Normal 4 3 4 2 2" xfId="124"/>
    <cellStyle name="Normal 4 3 4 3" xfId="88"/>
    <cellStyle name="Normal 4 3 5" xfId="34"/>
    <cellStyle name="Normal 4 3 5 2" xfId="70"/>
    <cellStyle name="Normal 4 3 5 2 2" xfId="142"/>
    <cellStyle name="Normal 4 3 5 3" xfId="106"/>
    <cellStyle name="Normal 4 3 6" xfId="43"/>
    <cellStyle name="Normal 4 3 6 2" xfId="115"/>
    <cellStyle name="Normal 4 3 7" xfId="79"/>
    <cellStyle name="Normal 4 4" xfId="7"/>
    <cellStyle name="Normal 4 4 2" xfId="30"/>
    <cellStyle name="Normal 4 4 2 2" xfId="66"/>
    <cellStyle name="Normal 4 4 2 2 2" xfId="138"/>
    <cellStyle name="Normal 4 4 2 3" xfId="102"/>
    <cellStyle name="Normal 4 4 3" xfId="17"/>
    <cellStyle name="Normal 4 4 3 2" xfId="54"/>
    <cellStyle name="Normal 4 4 3 2 2" xfId="126"/>
    <cellStyle name="Normal 4 4 3 3" xfId="90"/>
    <cellStyle name="Normal 4 4 4" xfId="39"/>
    <cellStyle name="Normal 4 4 4 2" xfId="75"/>
    <cellStyle name="Normal 4 4 4 2 2" xfId="147"/>
    <cellStyle name="Normal 4 4 4 3" xfId="111"/>
    <cellStyle name="Normal 4 4 5" xfId="45"/>
    <cellStyle name="Normal 4 4 5 2" xfId="117"/>
    <cellStyle name="Normal 4 4 6" xfId="81"/>
    <cellStyle name="Normal 4 5" xfId="11"/>
    <cellStyle name="Normal 4 5 2" xfId="31"/>
    <cellStyle name="Normal 4 5 2 2" xfId="67"/>
    <cellStyle name="Normal 4 5 2 2 2" xfId="139"/>
    <cellStyle name="Normal 4 5 2 3" xfId="103"/>
    <cellStyle name="Normal 4 5 3" xfId="21"/>
    <cellStyle name="Normal 4 5 3 2" xfId="58"/>
    <cellStyle name="Normal 4 5 3 2 2" xfId="130"/>
    <cellStyle name="Normal 4 5 3 3" xfId="94"/>
    <cellStyle name="Normal 4 5 4" xfId="40"/>
    <cellStyle name="Normal 4 5 4 2" xfId="76"/>
    <cellStyle name="Normal 4 5 4 2 2" xfId="148"/>
    <cellStyle name="Normal 4 5 4 3" xfId="112"/>
    <cellStyle name="Normal 4 5 5" xfId="49"/>
    <cellStyle name="Normal 4 5 5 2" xfId="121"/>
    <cellStyle name="Normal 4 5 6" xfId="85"/>
    <cellStyle name="Normal 4 6" xfId="23"/>
    <cellStyle name="Normal 4 6 2" xfId="59"/>
    <cellStyle name="Normal 4 6 2 2" xfId="131"/>
    <cellStyle name="Normal 4 6 3" xfId="95"/>
    <cellStyle name="Normal 4 7" xfId="13"/>
    <cellStyle name="Normal 4 7 2" xfId="50"/>
    <cellStyle name="Normal 4 7 2 2" xfId="122"/>
    <cellStyle name="Normal 4 7 3" xfId="86"/>
    <cellStyle name="Normal 4 8" xfId="32"/>
    <cellStyle name="Normal 4 8 2" xfId="68"/>
    <cellStyle name="Normal 4 8 2 2" xfId="140"/>
    <cellStyle name="Normal 4 8 3" xfId="104"/>
    <cellStyle name="Normal 4 9" xfId="41"/>
    <cellStyle name="Normal 4 9 2" xfId="113"/>
    <cellStyle name="Normal 5" xfId="12"/>
    <cellStyle name="Normal 6" xfId="22"/>
  </cellStyles>
  <dxfs count="129">
    <dxf>
      <font>
        <condense val="0"/>
        <extend val="0"/>
        <color rgb="FF9C0006"/>
      </font>
      <fill>
        <patternFill>
          <bgColor rgb="FFFFC7CE"/>
        </patternFill>
      </fill>
    </dxf>
    <dxf>
      <fill>
        <patternFill>
          <fgColor theme="0"/>
          <bgColor theme="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fgColor indexed="64"/>
          <bgColor rgb="FFFF66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fgColor indexed="64"/>
          <bgColor rgb="FFFF6600"/>
        </patternFill>
      </fill>
    </dxf>
    <dxf>
      <fill>
        <patternFill>
          <bgColor rgb="FF00FF00"/>
        </patternFill>
      </fill>
    </dxf>
    <dxf>
      <fill>
        <patternFill>
          <fgColor indexed="64"/>
          <bgColor rgb="FFFF66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fgColor indexed="64"/>
          <bgColor rgb="FFFF6600"/>
        </patternFill>
      </fill>
    </dxf>
    <dxf>
      <fill>
        <patternFill>
          <bgColor rgb="FF00FF00"/>
        </patternFill>
      </fill>
    </dxf>
    <dxf>
      <fill>
        <patternFill>
          <fgColor indexed="64"/>
          <bgColor rgb="FFFF66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fgColor indexed="64"/>
          <bgColor rgb="FFFF6600"/>
        </patternFill>
      </fill>
    </dxf>
    <dxf>
      <fill>
        <patternFill>
          <bgColor rgb="FF00FF00"/>
        </patternFill>
      </fill>
    </dxf>
    <dxf>
      <fill>
        <patternFill>
          <fgColor indexed="64"/>
          <bgColor rgb="FFFF66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fgColor indexed="64"/>
          <bgColor rgb="FFFF6600"/>
        </patternFill>
      </fill>
    </dxf>
    <dxf>
      <fill>
        <patternFill>
          <bgColor rgb="FF00FF00"/>
        </patternFill>
      </fill>
    </dxf>
    <dxf>
      <fill>
        <patternFill>
          <fgColor indexed="64"/>
          <bgColor rgb="FFFF66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fgColor indexed="64"/>
          <bgColor rgb="FFFF6600"/>
        </patternFill>
      </fill>
    </dxf>
    <dxf>
      <fill>
        <patternFill>
          <bgColor rgb="FF00FF00"/>
        </patternFill>
      </fill>
    </dxf>
    <dxf>
      <fill>
        <patternFill>
          <fgColor indexed="64"/>
          <bgColor rgb="FFFF66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fgColor indexed="64"/>
          <bgColor rgb="FFFF6600"/>
        </patternFill>
      </fill>
    </dxf>
    <dxf>
      <fill>
        <patternFill>
          <bgColor rgb="FF00FF00"/>
        </patternFill>
      </fill>
    </dxf>
    <dxf>
      <fill>
        <patternFill>
          <fgColor indexed="64"/>
          <bgColor rgb="FFFF66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fgColor indexed="64"/>
          <bgColor rgb="FFFF6600"/>
        </patternFill>
      </fill>
    </dxf>
    <dxf>
      <fill>
        <patternFill>
          <bgColor rgb="FF00FF00"/>
        </patternFill>
      </fill>
    </dxf>
    <dxf>
      <fill>
        <patternFill>
          <fgColor indexed="64"/>
          <bgColor rgb="FFFF66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fgColor indexed="64"/>
          <bgColor rgb="FFFF6600"/>
        </patternFill>
      </fill>
    </dxf>
    <dxf>
      <fill>
        <patternFill>
          <bgColor indexed="46"/>
        </patternFill>
      </fill>
    </dxf>
    <dxf>
      <font>
        <condense val="0"/>
        <extend val="0"/>
        <color rgb="FF9C0006"/>
      </font>
      <fill>
        <patternFill>
          <bgColor rgb="FFFFC7CE"/>
        </patternFill>
      </fill>
    </dxf>
  </dxfs>
  <tableStyles count="0" defaultTableStyle="TableStyleMedium9" defaultPivotStyle="PivotStyleLight16"/>
  <colors>
    <mruColors>
      <color rgb="FFFF6600"/>
      <color rgb="FFFFB9DC"/>
      <color rgb="FF00FF00"/>
      <color rgb="FFFFFF66"/>
      <color rgb="FF797453"/>
      <color rgb="FFFFFF99"/>
      <color rgb="FF737D4F"/>
      <color rgb="FFB8C09C"/>
      <color rgb="FFFF6699"/>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Desktop\Paul_work\Alaska\Documents%20and%20Settings\Paul\Application%20Data\Microsoft\Excel\ORWAPv1.5_Explana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rol\Desktop\Paul_work\Alaska\Documents%20and%20Settings\Paul\Application%20Data\Microsoft\Excel\ORWAP_08\Macro2\ORWAP_Macro\ORWAP_Macro\ORWAP%20RK%20bat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Scores"/>
      <sheetName val="CoverPg"/>
      <sheetName val="Sketch"/>
      <sheetName val="OF"/>
      <sheetName val="FieldF"/>
      <sheetName val="FieldS"/>
      <sheetName val="Matrix"/>
      <sheetName val="WS"/>
      <sheetName val="SR"/>
      <sheetName val="PR"/>
      <sheetName val="NR"/>
      <sheetName val="T"/>
      <sheetName val="CS"/>
      <sheetName val="OE"/>
      <sheetName val="INV"/>
      <sheetName val="FA"/>
      <sheetName val="FR"/>
      <sheetName val="AM"/>
      <sheetName val="WBF"/>
      <sheetName val="WBN"/>
      <sheetName val="SBM"/>
      <sheetName val="POL"/>
      <sheetName val="PD"/>
      <sheetName val="STR"/>
      <sheetName val="Sen"/>
      <sheetName val="CQ"/>
      <sheetName val="PU"/>
      <sheetName val="PS"/>
      <sheetName val="HGM"/>
      <sheetName val="Plants"/>
      <sheetName val="Verts"/>
      <sheetName val="InvertsNonNativ"/>
      <sheetName val="InvertsRare"/>
      <sheetName val="IBAs"/>
      <sheetName val="WQprob"/>
      <sheetName val="NWIstats"/>
      <sheetName val="HydricTab"/>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D2">
            <v>0</v>
          </cell>
        </row>
        <row r="3">
          <cell r="G3">
            <v>0</v>
          </cell>
        </row>
        <row r="5">
          <cell r="D5">
            <v>0</v>
          </cell>
        </row>
        <row r="6">
          <cell r="D6">
            <v>1</v>
          </cell>
        </row>
        <row r="8">
          <cell r="G8" t="str">
            <v/>
          </cell>
        </row>
        <row r="9">
          <cell r="D9">
            <v>0</v>
          </cell>
        </row>
        <row r="10">
          <cell r="D10">
            <v>0</v>
          </cell>
        </row>
        <row r="15">
          <cell r="G15">
            <v>0</v>
          </cell>
        </row>
        <row r="22">
          <cell r="G22">
            <v>0.3</v>
          </cell>
        </row>
        <row r="29">
          <cell r="G29">
            <v>1</v>
          </cell>
        </row>
        <row r="36">
          <cell r="G36">
            <v>0.25</v>
          </cell>
        </row>
        <row r="42">
          <cell r="G42">
            <v>0.6</v>
          </cell>
        </row>
        <row r="48">
          <cell r="G48">
            <v>0</v>
          </cell>
        </row>
        <row r="52">
          <cell r="D52">
            <v>0</v>
          </cell>
        </row>
        <row r="53">
          <cell r="G53">
            <v>1</v>
          </cell>
        </row>
        <row r="56">
          <cell r="G56" t="str">
            <v/>
          </cell>
        </row>
        <row r="62">
          <cell r="G62">
            <v>1</v>
          </cell>
        </row>
        <row r="63">
          <cell r="G63">
            <v>0.5</v>
          </cell>
        </row>
        <row r="67">
          <cell r="G67">
            <v>1</v>
          </cell>
        </row>
        <row r="72">
          <cell r="G72">
            <v>1</v>
          </cell>
        </row>
        <row r="75">
          <cell r="G75">
            <v>0</v>
          </cell>
        </row>
        <row r="79">
          <cell r="G79">
            <v>1</v>
          </cell>
        </row>
        <row r="84">
          <cell r="G84">
            <v>1</v>
          </cell>
        </row>
        <row r="88">
          <cell r="G88">
            <v>0</v>
          </cell>
        </row>
        <row r="92">
          <cell r="G92">
            <v>1</v>
          </cell>
        </row>
        <row r="96">
          <cell r="G96">
            <v>0</v>
          </cell>
        </row>
        <row r="102">
          <cell r="G102">
            <v>0</v>
          </cell>
        </row>
        <row r="106">
          <cell r="G106">
            <v>1</v>
          </cell>
        </row>
      </sheetData>
      <sheetData sheetId="8">
        <row r="2">
          <cell r="D2">
            <v>0</v>
          </cell>
        </row>
        <row r="3">
          <cell r="G3" t="str">
            <v/>
          </cell>
        </row>
        <row r="9">
          <cell r="D9">
            <v>0</v>
          </cell>
        </row>
        <row r="17">
          <cell r="G17">
            <v>1</v>
          </cell>
        </row>
        <row r="24">
          <cell r="G24" t="str">
            <v/>
          </cell>
        </row>
        <row r="30">
          <cell r="G30">
            <v>0.75</v>
          </cell>
        </row>
        <row r="36">
          <cell r="G36">
            <v>0</v>
          </cell>
        </row>
        <row r="40">
          <cell r="D40">
            <v>0</v>
          </cell>
        </row>
        <row r="41">
          <cell r="G41">
            <v>1</v>
          </cell>
        </row>
        <row r="44">
          <cell r="G44" t="str">
            <v/>
          </cell>
        </row>
        <row r="50">
          <cell r="G50" t="str">
            <v/>
          </cell>
        </row>
        <row r="56">
          <cell r="G56">
            <v>1</v>
          </cell>
        </row>
        <row r="61">
          <cell r="G61">
            <v>0.5</v>
          </cell>
        </row>
        <row r="65">
          <cell r="G65">
            <v>1</v>
          </cell>
        </row>
        <row r="70">
          <cell r="G70">
            <v>1</v>
          </cell>
        </row>
        <row r="75">
          <cell r="G75">
            <v>0</v>
          </cell>
        </row>
        <row r="81">
          <cell r="G81">
            <v>1</v>
          </cell>
        </row>
        <row r="85">
          <cell r="G85">
            <v>1</v>
          </cell>
        </row>
        <row r="90">
          <cell r="G90">
            <v>0</v>
          </cell>
        </row>
        <row r="94">
          <cell r="G94">
            <v>0</v>
          </cell>
        </row>
        <row r="98">
          <cell r="G98">
            <v>1</v>
          </cell>
        </row>
        <row r="102">
          <cell r="G102">
            <v>0</v>
          </cell>
        </row>
        <row r="109">
          <cell r="D109">
            <v>0</v>
          </cell>
        </row>
        <row r="112">
          <cell r="G112" t="str">
            <v/>
          </cell>
        </row>
        <row r="116">
          <cell r="G116">
            <v>0</v>
          </cell>
        </row>
        <row r="117">
          <cell r="G117" t="str">
            <v/>
          </cell>
        </row>
        <row r="123">
          <cell r="G123">
            <v>0.83333333333333337</v>
          </cell>
        </row>
        <row r="130">
          <cell r="G130">
            <v>0.75</v>
          </cell>
        </row>
        <row r="136">
          <cell r="G136" t="str">
            <v/>
          </cell>
        </row>
        <row r="139">
          <cell r="G139" t="str">
            <v/>
          </cell>
        </row>
        <row r="146">
          <cell r="G146">
            <v>0</v>
          </cell>
        </row>
        <row r="150">
          <cell r="G150">
            <v>0</v>
          </cell>
        </row>
        <row r="154">
          <cell r="G154">
            <v>0.5</v>
          </cell>
        </row>
        <row r="160">
          <cell r="G160">
            <v>1</v>
          </cell>
        </row>
      </sheetData>
      <sheetData sheetId="9">
        <row r="2">
          <cell r="D2">
            <v>0</v>
          </cell>
        </row>
        <row r="4">
          <cell r="G4" t="str">
            <v/>
          </cell>
        </row>
        <row r="10">
          <cell r="G10" t="str">
            <v/>
          </cell>
        </row>
        <row r="14">
          <cell r="G14">
            <v>1</v>
          </cell>
        </row>
        <row r="19">
          <cell r="D19">
            <v>0</v>
          </cell>
        </row>
        <row r="27">
          <cell r="G27">
            <v>0.75</v>
          </cell>
        </row>
        <row r="34">
          <cell r="G34">
            <v>1</v>
          </cell>
        </row>
        <row r="41">
          <cell r="G41">
            <v>0.2</v>
          </cell>
        </row>
        <row r="47">
          <cell r="G47">
            <v>0.66666666666666663</v>
          </cell>
        </row>
        <row r="53">
          <cell r="G53">
            <v>0</v>
          </cell>
        </row>
        <row r="57">
          <cell r="D57">
            <v>0</v>
          </cell>
        </row>
        <row r="58">
          <cell r="G58">
            <v>1</v>
          </cell>
        </row>
        <row r="61">
          <cell r="G61" t="str">
            <v/>
          </cell>
        </row>
        <row r="67">
          <cell r="G67" t="str">
            <v/>
          </cell>
        </row>
        <row r="73">
          <cell r="G73">
            <v>1</v>
          </cell>
        </row>
        <row r="74">
          <cell r="G74">
            <v>1</v>
          </cell>
        </row>
        <row r="75">
          <cell r="G75">
            <v>1</v>
          </cell>
        </row>
        <row r="81">
          <cell r="G81">
            <v>1</v>
          </cell>
        </row>
        <row r="86">
          <cell r="G86">
            <v>0</v>
          </cell>
        </row>
        <row r="91">
          <cell r="G91">
            <v>0.5</v>
          </cell>
        </row>
        <row r="95">
          <cell r="G95">
            <v>1</v>
          </cell>
        </row>
        <row r="105">
          <cell r="G105">
            <v>1</v>
          </cell>
        </row>
        <row r="107">
          <cell r="G107">
            <v>1</v>
          </cell>
        </row>
        <row r="111">
          <cell r="G111">
            <v>1</v>
          </cell>
        </row>
        <row r="116">
          <cell r="G116">
            <v>1</v>
          </cell>
        </row>
        <row r="120">
          <cell r="G120">
            <v>0</v>
          </cell>
        </row>
        <row r="124">
          <cell r="G124">
            <v>1</v>
          </cell>
        </row>
        <row r="128">
          <cell r="G128">
            <v>0</v>
          </cell>
        </row>
        <row r="134">
          <cell r="D134">
            <v>0</v>
          </cell>
        </row>
        <row r="137">
          <cell r="G137" t="str">
            <v/>
          </cell>
        </row>
        <row r="141">
          <cell r="G141">
            <v>0.33333333333333331</v>
          </cell>
        </row>
        <row r="146">
          <cell r="G146">
            <v>0</v>
          </cell>
        </row>
        <row r="147">
          <cell r="G147" t="str">
            <v/>
          </cell>
        </row>
        <row r="150">
          <cell r="G150">
            <v>0.5</v>
          </cell>
        </row>
        <row r="156">
          <cell r="G156">
            <v>1</v>
          </cell>
        </row>
      </sheetData>
      <sheetData sheetId="10">
        <row r="2">
          <cell r="D2">
            <v>0</v>
          </cell>
        </row>
        <row r="4">
          <cell r="G4">
            <v>1</v>
          </cell>
        </row>
        <row r="9">
          <cell r="D9">
            <v>0</v>
          </cell>
        </row>
        <row r="10">
          <cell r="G10">
            <v>0</v>
          </cell>
        </row>
        <row r="17">
          <cell r="G17">
            <v>0.5</v>
          </cell>
        </row>
        <row r="24">
          <cell r="G24">
            <v>1</v>
          </cell>
        </row>
        <row r="31">
          <cell r="G31">
            <v>0.25</v>
          </cell>
        </row>
        <row r="37">
          <cell r="G37">
            <v>0.8</v>
          </cell>
        </row>
        <row r="43">
          <cell r="G43">
            <v>0.45</v>
          </cell>
        </row>
        <row r="44">
          <cell r="G44">
            <v>0</v>
          </cell>
        </row>
        <row r="49">
          <cell r="G49">
            <v>0</v>
          </cell>
        </row>
        <row r="53">
          <cell r="D53">
            <v>0</v>
          </cell>
        </row>
        <row r="54">
          <cell r="G54">
            <v>1</v>
          </cell>
        </row>
        <row r="57">
          <cell r="G57" t="str">
            <v/>
          </cell>
        </row>
        <row r="63">
          <cell r="G63" t="str">
            <v/>
          </cell>
        </row>
        <row r="75">
          <cell r="G75">
            <v>1</v>
          </cell>
        </row>
        <row r="80">
          <cell r="G80">
            <v>0</v>
          </cell>
        </row>
        <row r="84">
          <cell r="G84">
            <v>0</v>
          </cell>
        </row>
        <row r="87">
          <cell r="G87">
            <v>0.25</v>
          </cell>
        </row>
        <row r="92">
          <cell r="G92">
            <v>0.66666666666666663</v>
          </cell>
        </row>
        <row r="96">
          <cell r="G96">
            <v>1</v>
          </cell>
        </row>
        <row r="101">
          <cell r="G101">
            <v>1</v>
          </cell>
        </row>
        <row r="102">
          <cell r="G102">
            <v>0</v>
          </cell>
        </row>
        <row r="103">
          <cell r="G103">
            <v>1</v>
          </cell>
        </row>
        <row r="104">
          <cell r="G104">
            <v>1</v>
          </cell>
        </row>
        <row r="107">
          <cell r="G107">
            <v>0</v>
          </cell>
        </row>
        <row r="111">
          <cell r="G111">
            <v>1</v>
          </cell>
        </row>
        <row r="116">
          <cell r="G116">
            <v>0</v>
          </cell>
        </row>
        <row r="120">
          <cell r="G120">
            <v>0</v>
          </cell>
        </row>
        <row r="124">
          <cell r="G124">
            <v>1</v>
          </cell>
        </row>
        <row r="129">
          <cell r="D129">
            <v>0</v>
          </cell>
        </row>
        <row r="132">
          <cell r="G132" t="str">
            <v/>
          </cell>
        </row>
        <row r="136">
          <cell r="G136">
            <v>0.5</v>
          </cell>
        </row>
        <row r="139">
          <cell r="G139">
            <v>0</v>
          </cell>
        </row>
        <row r="142">
          <cell r="G142">
            <v>0.66666666666666663</v>
          </cell>
        </row>
        <row r="147">
          <cell r="G147">
            <v>0</v>
          </cell>
        </row>
        <row r="148">
          <cell r="G148" t="str">
            <v/>
          </cell>
        </row>
        <row r="151">
          <cell r="G151">
            <v>0</v>
          </cell>
        </row>
        <row r="155">
          <cell r="G155">
            <v>0.5</v>
          </cell>
        </row>
        <row r="161">
          <cell r="G161">
            <v>1</v>
          </cell>
        </row>
        <row r="168">
          <cell r="G168">
            <v>0.7055555555555556</v>
          </cell>
        </row>
      </sheetData>
      <sheetData sheetId="11">
        <row r="2">
          <cell r="D2">
            <v>0</v>
          </cell>
        </row>
        <row r="4">
          <cell r="D4">
            <v>0</v>
          </cell>
        </row>
        <row r="5">
          <cell r="D5">
            <v>0</v>
          </cell>
        </row>
        <row r="6">
          <cell r="G6">
            <v>0</v>
          </cell>
        </row>
        <row r="13">
          <cell r="G13">
            <v>0.66666666666666663</v>
          </cell>
        </row>
        <row r="19">
          <cell r="G19">
            <v>0</v>
          </cell>
        </row>
        <row r="24">
          <cell r="G24">
            <v>1</v>
          </cell>
        </row>
        <row r="28">
          <cell r="D28">
            <v>0</v>
          </cell>
        </row>
        <row r="29">
          <cell r="G29">
            <v>0</v>
          </cell>
        </row>
        <row r="37">
          <cell r="G37">
            <v>1</v>
          </cell>
        </row>
        <row r="39">
          <cell r="D39">
            <v>0</v>
          </cell>
        </row>
        <row r="42">
          <cell r="G42">
            <v>0</v>
          </cell>
        </row>
      </sheetData>
      <sheetData sheetId="12">
        <row r="3">
          <cell r="D3">
            <v>0</v>
          </cell>
        </row>
        <row r="4">
          <cell r="D4">
            <v>0</v>
          </cell>
        </row>
        <row r="15">
          <cell r="G15">
            <v>1</v>
          </cell>
        </row>
        <row r="21">
          <cell r="G21">
            <v>1</v>
          </cell>
        </row>
        <row r="28">
          <cell r="G28" t="str">
            <v/>
          </cell>
        </row>
        <row r="35">
          <cell r="G35">
            <v>0.75</v>
          </cell>
        </row>
        <row r="41">
          <cell r="G41">
            <v>0.25</v>
          </cell>
        </row>
        <row r="47">
          <cell r="G47">
            <v>0.25</v>
          </cell>
        </row>
        <row r="53">
          <cell r="G53">
            <v>0</v>
          </cell>
        </row>
        <row r="58">
          <cell r="G58">
            <v>0</v>
          </cell>
        </row>
        <row r="63">
          <cell r="G63">
            <v>1</v>
          </cell>
        </row>
        <row r="66">
          <cell r="G66" t="str">
            <v/>
          </cell>
        </row>
        <row r="72">
          <cell r="G72" t="str">
            <v/>
          </cell>
        </row>
        <row r="75">
          <cell r="G75" t="str">
            <v/>
          </cell>
        </row>
        <row r="81">
          <cell r="G81">
            <v>1</v>
          </cell>
        </row>
        <row r="82">
          <cell r="G82">
            <v>0</v>
          </cell>
        </row>
        <row r="88">
          <cell r="G88">
            <v>0.18181818181818182</v>
          </cell>
        </row>
        <row r="101">
          <cell r="G101">
            <v>1</v>
          </cell>
        </row>
        <row r="107">
          <cell r="G107">
            <v>1</v>
          </cell>
        </row>
        <row r="112">
          <cell r="G112">
            <v>0</v>
          </cell>
        </row>
        <row r="117">
          <cell r="G117">
            <v>0.5</v>
          </cell>
        </row>
        <row r="121">
          <cell r="G121">
            <v>1</v>
          </cell>
        </row>
        <row r="126">
          <cell r="G126">
            <v>1</v>
          </cell>
        </row>
        <row r="131">
          <cell r="G131">
            <v>0</v>
          </cell>
        </row>
        <row r="135">
          <cell r="G135">
            <v>1</v>
          </cell>
        </row>
        <row r="136">
          <cell r="G136">
            <v>1</v>
          </cell>
        </row>
      </sheetData>
      <sheetData sheetId="13">
        <row r="2">
          <cell r="D2">
            <v>0</v>
          </cell>
        </row>
        <row r="4">
          <cell r="G4" t="str">
            <v/>
          </cell>
        </row>
        <row r="10">
          <cell r="G10" t="str">
            <v/>
          </cell>
        </row>
        <row r="16">
          <cell r="G16">
            <v>0</v>
          </cell>
        </row>
        <row r="21">
          <cell r="D21">
            <v>0</v>
          </cell>
        </row>
        <row r="22">
          <cell r="G22">
            <v>1</v>
          </cell>
        </row>
        <row r="29">
          <cell r="G29">
            <v>0</v>
          </cell>
        </row>
        <row r="36">
          <cell r="G36">
            <v>0.25</v>
          </cell>
        </row>
        <row r="42">
          <cell r="G42">
            <v>1</v>
          </cell>
        </row>
        <row r="48">
          <cell r="G48">
            <v>0.2</v>
          </cell>
        </row>
        <row r="54">
          <cell r="G54">
            <v>0.45</v>
          </cell>
        </row>
        <row r="55">
          <cell r="G55">
            <v>1</v>
          </cell>
        </row>
        <row r="59">
          <cell r="D59">
            <v>0</v>
          </cell>
        </row>
        <row r="60">
          <cell r="G60">
            <v>0</v>
          </cell>
        </row>
        <row r="63">
          <cell r="G63" t="str">
            <v/>
          </cell>
        </row>
        <row r="69">
          <cell r="G69" t="str">
            <v/>
          </cell>
        </row>
        <row r="72">
          <cell r="G72" t="str">
            <v/>
          </cell>
        </row>
        <row r="78">
          <cell r="G78">
            <v>1</v>
          </cell>
        </row>
        <row r="79">
          <cell r="G79">
            <v>0</v>
          </cell>
        </row>
        <row r="85">
          <cell r="G85">
            <v>1</v>
          </cell>
        </row>
        <row r="91">
          <cell r="G91">
            <v>1</v>
          </cell>
        </row>
        <row r="101">
          <cell r="G101">
            <v>0.5</v>
          </cell>
        </row>
        <row r="105">
          <cell r="G105">
            <v>1</v>
          </cell>
        </row>
        <row r="110">
          <cell r="G110">
            <v>1</v>
          </cell>
        </row>
        <row r="115">
          <cell r="G115">
            <v>1</v>
          </cell>
        </row>
        <row r="116">
          <cell r="G116">
            <v>1</v>
          </cell>
        </row>
        <row r="117">
          <cell r="G117">
            <v>1</v>
          </cell>
        </row>
      </sheetData>
      <sheetData sheetId="14">
        <row r="2">
          <cell r="D2">
            <v>0</v>
          </cell>
        </row>
        <row r="3">
          <cell r="D3">
            <v>0</v>
          </cell>
        </row>
        <row r="4">
          <cell r="G4" t="str">
            <v/>
          </cell>
        </row>
        <row r="10">
          <cell r="G10">
            <v>0</v>
          </cell>
        </row>
        <row r="15">
          <cell r="D15">
            <v>0</v>
          </cell>
        </row>
        <row r="16">
          <cell r="G16">
            <v>0</v>
          </cell>
        </row>
        <row r="23">
          <cell r="G23">
            <v>0.5</v>
          </cell>
        </row>
        <row r="30">
          <cell r="G30">
            <v>0.33333333333333331</v>
          </cell>
        </row>
        <row r="37">
          <cell r="G37" t="str">
            <v/>
          </cell>
        </row>
        <row r="43">
          <cell r="G43">
            <v>1</v>
          </cell>
        </row>
        <row r="47">
          <cell r="G47">
            <v>0.33333333333333331</v>
          </cell>
        </row>
        <row r="53">
          <cell r="G53">
            <v>0.4</v>
          </cell>
        </row>
        <row r="59">
          <cell r="G59">
            <v>0.5</v>
          </cell>
        </row>
        <row r="63">
          <cell r="G63">
            <v>0.45</v>
          </cell>
        </row>
        <row r="64">
          <cell r="G64">
            <v>0</v>
          </cell>
        </row>
        <row r="69">
          <cell r="G69" t="str">
            <v/>
          </cell>
        </row>
        <row r="75">
          <cell r="G75">
            <v>0</v>
          </cell>
        </row>
        <row r="76">
          <cell r="G76">
            <v>0.75</v>
          </cell>
        </row>
        <row r="88">
          <cell r="G88">
            <v>0.75</v>
          </cell>
        </row>
        <row r="94">
          <cell r="G94">
            <v>0</v>
          </cell>
        </row>
        <row r="100">
          <cell r="G100">
            <v>1</v>
          </cell>
        </row>
        <row r="103">
          <cell r="G103">
            <v>1</v>
          </cell>
        </row>
        <row r="108">
          <cell r="G108">
            <v>0</v>
          </cell>
        </row>
        <row r="111">
          <cell r="G111">
            <v>0.5</v>
          </cell>
        </row>
        <row r="115">
          <cell r="G115">
            <v>1</v>
          </cell>
        </row>
        <row r="116">
          <cell r="G116">
            <v>1</v>
          </cell>
        </row>
        <row r="122">
          <cell r="G122">
            <v>0.5</v>
          </cell>
        </row>
        <row r="128">
          <cell r="G128">
            <v>0</v>
          </cell>
        </row>
        <row r="136">
          <cell r="G136">
            <v>1</v>
          </cell>
        </row>
        <row r="139">
          <cell r="G139">
            <v>1</v>
          </cell>
        </row>
        <row r="140">
          <cell r="G140">
            <v>1</v>
          </cell>
        </row>
        <row r="141">
          <cell r="G141">
            <v>1</v>
          </cell>
        </row>
        <row r="144">
          <cell r="G144">
            <v>0</v>
          </cell>
        </row>
        <row r="155">
          <cell r="G155">
            <v>1</v>
          </cell>
        </row>
        <row r="159">
          <cell r="G159">
            <v>0.70972222222222225</v>
          </cell>
        </row>
        <row r="160">
          <cell r="G160">
            <v>0.82874999999999999</v>
          </cell>
        </row>
        <row r="161">
          <cell r="G161">
            <v>0.56278499278499283</v>
          </cell>
        </row>
        <row r="162">
          <cell r="G162" t="e">
            <v>#REF!</v>
          </cell>
        </row>
        <row r="163">
          <cell r="G163">
            <v>0.54677777777777781</v>
          </cell>
        </row>
        <row r="164">
          <cell r="G164">
            <v>0.37724747474747478</v>
          </cell>
        </row>
      </sheetData>
      <sheetData sheetId="15">
        <row r="2">
          <cell r="D2">
            <v>0</v>
          </cell>
        </row>
        <row r="4">
          <cell r="D4">
            <v>0</v>
          </cell>
        </row>
        <row r="5">
          <cell r="D5">
            <v>0</v>
          </cell>
        </row>
        <row r="6">
          <cell r="D6">
            <v>1</v>
          </cell>
        </row>
        <row r="7">
          <cell r="D7">
            <v>1</v>
          </cell>
        </row>
        <row r="8">
          <cell r="G8" t="str">
            <v/>
          </cell>
        </row>
        <row r="14">
          <cell r="G14" t="str">
            <v/>
          </cell>
        </row>
        <row r="20">
          <cell r="D20">
            <v>0</v>
          </cell>
        </row>
        <row r="21">
          <cell r="G21">
            <v>1</v>
          </cell>
        </row>
        <row r="28">
          <cell r="G28" t="str">
            <v/>
          </cell>
        </row>
        <row r="38">
          <cell r="G38">
            <v>1</v>
          </cell>
        </row>
        <row r="44">
          <cell r="G44">
            <v>0.45</v>
          </cell>
        </row>
        <row r="45">
          <cell r="G45">
            <v>0</v>
          </cell>
        </row>
        <row r="50">
          <cell r="G50">
            <v>1</v>
          </cell>
        </row>
        <row r="58">
          <cell r="G58" t="str">
            <v/>
          </cell>
        </row>
        <row r="64">
          <cell r="G64" t="str">
            <v/>
          </cell>
        </row>
        <row r="70">
          <cell r="G70">
            <v>0</v>
          </cell>
        </row>
        <row r="76">
          <cell r="G76">
            <v>1</v>
          </cell>
        </row>
        <row r="79">
          <cell r="G79">
            <v>1</v>
          </cell>
        </row>
        <row r="82">
          <cell r="G82">
            <v>0.5</v>
          </cell>
        </row>
        <row r="91">
          <cell r="G91">
            <v>0</v>
          </cell>
        </row>
        <row r="93">
          <cell r="G93">
            <v>0.5</v>
          </cell>
        </row>
        <row r="99">
          <cell r="G99">
            <v>0</v>
          </cell>
        </row>
        <row r="107">
          <cell r="G107">
            <v>1</v>
          </cell>
        </row>
        <row r="115">
          <cell r="G115">
            <v>0</v>
          </cell>
        </row>
        <row r="118">
          <cell r="G118">
            <v>1</v>
          </cell>
        </row>
        <row r="119">
          <cell r="G119">
            <v>1</v>
          </cell>
        </row>
        <row r="123">
          <cell r="G123">
            <v>1</v>
          </cell>
        </row>
        <row r="124">
          <cell r="G124" t="e">
            <v>#REF!</v>
          </cell>
        </row>
      </sheetData>
      <sheetData sheetId="16">
        <row r="2">
          <cell r="D2">
            <v>0</v>
          </cell>
        </row>
        <row r="3">
          <cell r="D3">
            <v>1</v>
          </cell>
        </row>
        <row r="4">
          <cell r="D4">
            <v>0</v>
          </cell>
        </row>
        <row r="22">
          <cell r="D22">
            <v>0</v>
          </cell>
        </row>
        <row r="23">
          <cell r="G23">
            <v>1</v>
          </cell>
        </row>
        <row r="35">
          <cell r="D35">
            <v>0</v>
          </cell>
        </row>
        <row r="37">
          <cell r="G37">
            <v>0</v>
          </cell>
        </row>
        <row r="44">
          <cell r="G44">
            <v>1</v>
          </cell>
        </row>
        <row r="48">
          <cell r="G48">
            <v>0.75</v>
          </cell>
        </row>
        <row r="54">
          <cell r="G54">
            <v>0</v>
          </cell>
        </row>
        <row r="58">
          <cell r="G58">
            <v>0.45</v>
          </cell>
        </row>
        <row r="59">
          <cell r="G59">
            <v>1</v>
          </cell>
        </row>
        <row r="63">
          <cell r="D63">
            <v>0</v>
          </cell>
        </row>
        <row r="64">
          <cell r="G64" t="str">
            <v/>
          </cell>
        </row>
        <row r="67">
          <cell r="G67" t="str">
            <v/>
          </cell>
        </row>
        <row r="73">
          <cell r="G73" t="str">
            <v/>
          </cell>
        </row>
        <row r="79">
          <cell r="G79">
            <v>1</v>
          </cell>
        </row>
        <row r="82">
          <cell r="G82">
            <v>1</v>
          </cell>
        </row>
        <row r="85">
          <cell r="G85">
            <v>0</v>
          </cell>
        </row>
        <row r="88">
          <cell r="G88">
            <v>1</v>
          </cell>
        </row>
        <row r="96">
          <cell r="D96">
            <v>1</v>
          </cell>
        </row>
        <row r="97">
          <cell r="G97">
            <v>0.75</v>
          </cell>
        </row>
        <row r="106">
          <cell r="G106">
            <v>0</v>
          </cell>
        </row>
        <row r="111">
          <cell r="D111">
            <v>1</v>
          </cell>
        </row>
        <row r="112">
          <cell r="D112" t="e">
            <v>#REF!</v>
          </cell>
        </row>
      </sheetData>
      <sheetData sheetId="17">
        <row r="2">
          <cell r="D2">
            <v>0</v>
          </cell>
        </row>
        <row r="3">
          <cell r="D3">
            <v>0</v>
          </cell>
        </row>
        <row r="4">
          <cell r="D4">
            <v>1</v>
          </cell>
        </row>
        <row r="5">
          <cell r="D5">
            <v>0</v>
          </cell>
        </row>
        <row r="6">
          <cell r="G6">
            <v>0</v>
          </cell>
        </row>
        <row r="13">
          <cell r="G13">
            <v>1</v>
          </cell>
        </row>
        <row r="20">
          <cell r="G20">
            <v>1</v>
          </cell>
        </row>
        <row r="27">
          <cell r="G27" t="str">
            <v/>
          </cell>
        </row>
        <row r="33">
          <cell r="G33">
            <v>1</v>
          </cell>
        </row>
        <row r="37">
          <cell r="G37">
            <v>0.25</v>
          </cell>
        </row>
        <row r="43">
          <cell r="G43">
            <v>1</v>
          </cell>
        </row>
        <row r="48">
          <cell r="G48">
            <v>0.5</v>
          </cell>
        </row>
        <row r="49">
          <cell r="G49">
            <v>0</v>
          </cell>
        </row>
        <row r="54">
          <cell r="G54" t="str">
            <v/>
          </cell>
        </row>
        <row r="60">
          <cell r="G60">
            <v>0.25</v>
          </cell>
        </row>
        <row r="67">
          <cell r="G67">
            <v>1</v>
          </cell>
        </row>
        <row r="70">
          <cell r="G70">
            <v>0</v>
          </cell>
        </row>
        <row r="80">
          <cell r="G80">
            <v>0.18181818181818182</v>
          </cell>
        </row>
        <row r="93">
          <cell r="G93">
            <v>0.66666666666666663</v>
          </cell>
        </row>
        <row r="98">
          <cell r="B98" t="str">
            <v>Upland Inclusions</v>
          </cell>
        </row>
        <row r="101">
          <cell r="G101">
            <v>0</v>
          </cell>
        </row>
        <row r="104">
          <cell r="G104">
            <v>0.5</v>
          </cell>
        </row>
        <row r="108">
          <cell r="G108">
            <v>1</v>
          </cell>
        </row>
        <row r="113">
          <cell r="G113">
            <v>1</v>
          </cell>
        </row>
        <row r="118">
          <cell r="G118">
            <v>1</v>
          </cell>
        </row>
        <row r="121">
          <cell r="G121">
            <v>0</v>
          </cell>
        </row>
        <row r="125">
          <cell r="G125">
            <v>0</v>
          </cell>
        </row>
        <row r="130">
          <cell r="G130">
            <v>0.33333333333333331</v>
          </cell>
        </row>
        <row r="135">
          <cell r="G135">
            <v>0</v>
          </cell>
        </row>
        <row r="141">
          <cell r="G141">
            <v>0</v>
          </cell>
        </row>
        <row r="146">
          <cell r="G146">
            <v>0.25</v>
          </cell>
        </row>
        <row r="152">
          <cell r="G152">
            <v>0.4</v>
          </cell>
        </row>
        <row r="158">
          <cell r="G158">
            <v>0</v>
          </cell>
        </row>
        <row r="166">
          <cell r="G166">
            <v>0</v>
          </cell>
        </row>
        <row r="167">
          <cell r="G167">
            <v>0.4</v>
          </cell>
        </row>
        <row r="180">
          <cell r="G180">
            <v>0</v>
          </cell>
        </row>
        <row r="188">
          <cell r="G188">
            <v>0</v>
          </cell>
        </row>
        <row r="194">
          <cell r="G194">
            <v>0.5</v>
          </cell>
        </row>
        <row r="200">
          <cell r="G200">
            <v>0.2</v>
          </cell>
        </row>
        <row r="207">
          <cell r="G207">
            <v>1</v>
          </cell>
        </row>
        <row r="214">
          <cell r="G214" t="str">
            <v/>
          </cell>
        </row>
        <row r="220">
          <cell r="G220">
            <v>0</v>
          </cell>
        </row>
        <row r="224">
          <cell r="G224">
            <v>1</v>
          </cell>
        </row>
        <row r="228">
          <cell r="G228">
            <v>0</v>
          </cell>
        </row>
        <row r="232">
          <cell r="G232">
            <v>0</v>
          </cell>
        </row>
        <row r="237">
          <cell r="G237">
            <v>0.66666666666666663</v>
          </cell>
        </row>
        <row r="244">
          <cell r="G244">
            <v>1</v>
          </cell>
        </row>
      </sheetData>
      <sheetData sheetId="18">
        <row r="2">
          <cell r="D2">
            <v>0</v>
          </cell>
        </row>
        <row r="3">
          <cell r="D3">
            <v>1</v>
          </cell>
        </row>
        <row r="4">
          <cell r="D4">
            <v>0</v>
          </cell>
        </row>
        <row r="6">
          <cell r="G6" t="str">
            <v/>
          </cell>
        </row>
        <row r="12">
          <cell r="G12" t="str">
            <v/>
          </cell>
        </row>
        <row r="18">
          <cell r="G18">
            <v>0</v>
          </cell>
        </row>
        <row r="23">
          <cell r="D23">
            <v>0</v>
          </cell>
        </row>
        <row r="24">
          <cell r="G24">
            <v>0.3</v>
          </cell>
        </row>
        <row r="30">
          <cell r="G30">
            <v>0.75</v>
          </cell>
        </row>
        <row r="37">
          <cell r="G37">
            <v>0</v>
          </cell>
        </row>
        <row r="44">
          <cell r="G44">
            <v>0.16666666666666666</v>
          </cell>
        </row>
        <row r="50">
          <cell r="G50">
            <v>0.5</v>
          </cell>
        </row>
        <row r="54">
          <cell r="G54">
            <v>0.45</v>
          </cell>
        </row>
        <row r="55">
          <cell r="G55" t="str">
            <v/>
          </cell>
        </row>
        <row r="65">
          <cell r="G65">
            <v>1</v>
          </cell>
        </row>
        <row r="71">
          <cell r="D71">
            <v>1</v>
          </cell>
        </row>
        <row r="72">
          <cell r="G72">
            <v>1</v>
          </cell>
        </row>
        <row r="78">
          <cell r="G78">
            <v>0.75</v>
          </cell>
        </row>
        <row r="84">
          <cell r="G84">
            <v>0.3</v>
          </cell>
        </row>
        <row r="90">
          <cell r="G90">
            <v>0</v>
          </cell>
        </row>
        <row r="96">
          <cell r="G96">
            <v>1</v>
          </cell>
        </row>
        <row r="97">
          <cell r="D97">
            <v>0</v>
          </cell>
        </row>
        <row r="101">
          <cell r="G101">
            <v>1</v>
          </cell>
        </row>
        <row r="102">
          <cell r="G102">
            <v>0</v>
          </cell>
        </row>
        <row r="107">
          <cell r="G107">
            <v>0.33333333333333331</v>
          </cell>
        </row>
        <row r="112">
          <cell r="G112">
            <v>0</v>
          </cell>
        </row>
        <row r="118">
          <cell r="G118">
            <v>0</v>
          </cell>
        </row>
        <row r="123">
          <cell r="G123">
            <v>0.2</v>
          </cell>
        </row>
        <row r="130">
          <cell r="G130">
            <v>1</v>
          </cell>
        </row>
        <row r="137">
          <cell r="G137">
            <v>0.5</v>
          </cell>
        </row>
        <row r="141">
          <cell r="G141">
            <v>0</v>
          </cell>
        </row>
        <row r="145">
          <cell r="G145">
            <v>0.9</v>
          </cell>
        </row>
        <row r="152">
          <cell r="G152" t="str">
            <v/>
          </cell>
        </row>
        <row r="159">
          <cell r="D159">
            <v>0</v>
          </cell>
        </row>
        <row r="164">
          <cell r="G164" t="str">
            <v/>
          </cell>
        </row>
        <row r="170">
          <cell r="G170">
            <v>0</v>
          </cell>
        </row>
        <row r="174">
          <cell r="G174">
            <v>0.4</v>
          </cell>
        </row>
        <row r="181">
          <cell r="G181">
            <v>1</v>
          </cell>
        </row>
      </sheetData>
      <sheetData sheetId="19">
        <row r="2">
          <cell r="D2">
            <v>0</v>
          </cell>
        </row>
        <row r="3">
          <cell r="D3">
            <v>0</v>
          </cell>
        </row>
        <row r="10">
          <cell r="G10">
            <v>0</v>
          </cell>
        </row>
        <row r="16">
          <cell r="G16">
            <v>0.8</v>
          </cell>
        </row>
        <row r="23">
          <cell r="G23">
            <v>1</v>
          </cell>
        </row>
        <row r="30">
          <cell r="G30">
            <v>0.25</v>
          </cell>
        </row>
        <row r="36">
          <cell r="G36">
            <v>0.33333333333333331</v>
          </cell>
        </row>
        <row r="42">
          <cell r="G42">
            <v>0.5</v>
          </cell>
        </row>
        <row r="49">
          <cell r="G49">
            <v>0.45</v>
          </cell>
        </row>
        <row r="50">
          <cell r="G50" t="str">
            <v/>
          </cell>
        </row>
        <row r="56">
          <cell r="G56" t="str">
            <v/>
          </cell>
        </row>
        <row r="69">
          <cell r="G69">
            <v>0</v>
          </cell>
        </row>
        <row r="73">
          <cell r="D73">
            <v>1</v>
          </cell>
        </row>
        <row r="74">
          <cell r="G74">
            <v>0.75</v>
          </cell>
        </row>
        <row r="93">
          <cell r="G93">
            <v>0.5</v>
          </cell>
        </row>
        <row r="99">
          <cell r="G99">
            <v>0.25</v>
          </cell>
        </row>
        <row r="105">
          <cell r="G105">
            <v>1</v>
          </cell>
        </row>
        <row r="108">
          <cell r="G108">
            <v>1</v>
          </cell>
        </row>
        <row r="109">
          <cell r="D109">
            <v>0</v>
          </cell>
        </row>
        <row r="113">
          <cell r="G113">
            <v>1</v>
          </cell>
        </row>
        <row r="118">
          <cell r="G118">
            <v>0</v>
          </cell>
        </row>
        <row r="123">
          <cell r="G123">
            <v>0.33333333333333331</v>
          </cell>
        </row>
        <row r="128">
          <cell r="G128">
            <v>0.5</v>
          </cell>
        </row>
        <row r="134">
          <cell r="G134">
            <v>0</v>
          </cell>
        </row>
        <row r="142">
          <cell r="G142">
            <v>0.5</v>
          </cell>
        </row>
        <row r="148">
          <cell r="G148">
            <v>0.2</v>
          </cell>
        </row>
        <row r="155">
          <cell r="G155">
            <v>1</v>
          </cell>
        </row>
        <row r="162">
          <cell r="G162">
            <v>0.5</v>
          </cell>
        </row>
        <row r="163">
          <cell r="D163">
            <v>0</v>
          </cell>
        </row>
        <row r="166">
          <cell r="G166">
            <v>0.9</v>
          </cell>
        </row>
        <row r="179">
          <cell r="G179">
            <v>0.4</v>
          </cell>
        </row>
        <row r="186">
          <cell r="G186">
            <v>1</v>
          </cell>
        </row>
        <row r="192">
          <cell r="G192" t="str">
            <v/>
          </cell>
        </row>
        <row r="199">
          <cell r="G199">
            <v>0</v>
          </cell>
        </row>
        <row r="211">
          <cell r="G211">
            <v>1</v>
          </cell>
        </row>
      </sheetData>
      <sheetData sheetId="20">
        <row r="2">
          <cell r="D2">
            <v>0</v>
          </cell>
        </row>
        <row r="3">
          <cell r="G3" t="str">
            <v/>
          </cell>
        </row>
        <row r="4">
          <cell r="D4">
            <v>0</v>
          </cell>
        </row>
        <row r="9">
          <cell r="G9" t="str">
            <v/>
          </cell>
        </row>
        <row r="16">
          <cell r="D16">
            <v>0</v>
          </cell>
        </row>
        <row r="22">
          <cell r="G22">
            <v>1</v>
          </cell>
        </row>
        <row r="25">
          <cell r="G25">
            <v>0</v>
          </cell>
        </row>
        <row r="31">
          <cell r="G31">
            <v>0</v>
          </cell>
        </row>
        <row r="37">
          <cell r="G37" t="str">
            <v/>
          </cell>
        </row>
        <row r="41">
          <cell r="G41">
            <v>0.22727272727272727</v>
          </cell>
        </row>
        <row r="54">
          <cell r="G54">
            <v>1</v>
          </cell>
        </row>
        <row r="57">
          <cell r="G57">
            <v>1.6666666666666667</v>
          </cell>
        </row>
        <row r="62">
          <cell r="G62">
            <v>0</v>
          </cell>
        </row>
        <row r="66">
          <cell r="G66">
            <v>1</v>
          </cell>
        </row>
        <row r="69">
          <cell r="G69">
            <v>0</v>
          </cell>
        </row>
        <row r="72">
          <cell r="G72">
            <v>0.5</v>
          </cell>
        </row>
        <row r="77">
          <cell r="D77">
            <v>1</v>
          </cell>
        </row>
        <row r="78">
          <cell r="G78">
            <v>0</v>
          </cell>
        </row>
        <row r="79">
          <cell r="G79">
            <v>1</v>
          </cell>
        </row>
        <row r="84">
          <cell r="G84">
            <v>0</v>
          </cell>
        </row>
        <row r="89">
          <cell r="G89">
            <v>0.33333333333333331</v>
          </cell>
        </row>
        <row r="94">
          <cell r="G94">
            <v>0.4</v>
          </cell>
        </row>
        <row r="100">
          <cell r="G100">
            <v>0</v>
          </cell>
        </row>
        <row r="108">
          <cell r="G108">
            <v>0</v>
          </cell>
        </row>
        <row r="109">
          <cell r="G109">
            <v>0.4</v>
          </cell>
        </row>
        <row r="116">
          <cell r="G116">
            <v>0</v>
          </cell>
        </row>
        <row r="122">
          <cell r="G122">
            <v>0</v>
          </cell>
        </row>
        <row r="127">
          <cell r="G127">
            <v>0.25</v>
          </cell>
        </row>
        <row r="133">
          <cell r="G133">
            <v>0.25</v>
          </cell>
        </row>
        <row r="139">
          <cell r="G139">
            <v>0</v>
          </cell>
        </row>
        <row r="147">
          <cell r="G147">
            <v>0</v>
          </cell>
        </row>
        <row r="153">
          <cell r="G153">
            <v>0.5</v>
          </cell>
        </row>
        <row r="159">
          <cell r="G159">
            <v>0</v>
          </cell>
        </row>
        <row r="166">
          <cell r="G166">
            <v>1</v>
          </cell>
        </row>
        <row r="173">
          <cell r="G173">
            <v>0.83333333333333337</v>
          </cell>
        </row>
        <row r="180">
          <cell r="G180" t="str">
            <v/>
          </cell>
        </row>
        <row r="199">
          <cell r="G199">
            <v>0</v>
          </cell>
        </row>
        <row r="211">
          <cell r="G211">
            <v>1</v>
          </cell>
        </row>
      </sheetData>
      <sheetData sheetId="21">
        <row r="3">
          <cell r="G3" t="str">
            <v/>
          </cell>
        </row>
        <row r="9">
          <cell r="G9">
            <v>0.25</v>
          </cell>
        </row>
        <row r="18">
          <cell r="G18">
            <v>0</v>
          </cell>
        </row>
        <row r="22">
          <cell r="G22">
            <v>0</v>
          </cell>
        </row>
        <row r="31">
          <cell r="G31">
            <v>0</v>
          </cell>
        </row>
        <row r="36">
          <cell r="G36" t="str">
            <v/>
          </cell>
        </row>
        <row r="42">
          <cell r="G42">
            <v>0.24090909090909091</v>
          </cell>
        </row>
        <row r="61">
          <cell r="G61">
            <v>0</v>
          </cell>
        </row>
        <row r="64">
          <cell r="G64">
            <v>0.33333333333333331</v>
          </cell>
        </row>
        <row r="69">
          <cell r="G69">
            <v>0</v>
          </cell>
        </row>
        <row r="72">
          <cell r="G72">
            <v>0</v>
          </cell>
        </row>
        <row r="76">
          <cell r="G76">
            <v>0</v>
          </cell>
        </row>
        <row r="77">
          <cell r="G77">
            <v>0.5</v>
          </cell>
        </row>
        <row r="83">
          <cell r="G83">
            <v>0</v>
          </cell>
        </row>
        <row r="89">
          <cell r="G89">
            <v>0.5</v>
          </cell>
        </row>
        <row r="95">
          <cell r="G95">
            <v>0.9</v>
          </cell>
        </row>
        <row r="102">
          <cell r="G102">
            <v>1</v>
          </cell>
        </row>
        <row r="105">
          <cell r="G105">
            <v>0</v>
          </cell>
        </row>
        <row r="107">
          <cell r="G107">
            <v>0</v>
          </cell>
        </row>
        <row r="113">
          <cell r="G113">
            <v>0</v>
          </cell>
        </row>
        <row r="118">
          <cell r="G118">
            <v>0</v>
          </cell>
        </row>
        <row r="122">
          <cell r="G122">
            <v>0</v>
          </cell>
        </row>
        <row r="123">
          <cell r="G123" t="e">
            <v>#REF!</v>
          </cell>
        </row>
      </sheetData>
      <sheetData sheetId="22">
        <row r="2">
          <cell r="D2">
            <v>0</v>
          </cell>
        </row>
        <row r="3">
          <cell r="G3" t="str">
            <v/>
          </cell>
        </row>
        <row r="9">
          <cell r="G9" t="str">
            <v/>
          </cell>
        </row>
        <row r="15">
          <cell r="G15" t="str">
            <v/>
          </cell>
        </row>
        <row r="21">
          <cell r="G21" t="str">
            <v/>
          </cell>
        </row>
        <row r="28">
          <cell r="G28">
            <v>0</v>
          </cell>
        </row>
        <row r="33">
          <cell r="G33">
            <v>1</v>
          </cell>
        </row>
        <row r="37">
          <cell r="G37">
            <v>0.25</v>
          </cell>
        </row>
        <row r="43">
          <cell r="G43">
            <v>0</v>
          </cell>
        </row>
        <row r="46">
          <cell r="G46" t="str">
            <v/>
          </cell>
        </row>
        <row r="50">
          <cell r="G50">
            <v>0</v>
          </cell>
        </row>
        <row r="69">
          <cell r="G69">
            <v>0</v>
          </cell>
        </row>
        <row r="74">
          <cell r="G74" t="str">
            <v/>
          </cell>
        </row>
        <row r="80">
          <cell r="G80" t="str">
            <v/>
          </cell>
        </row>
        <row r="86">
          <cell r="G86" t="str">
            <v/>
          </cell>
        </row>
        <row r="92">
          <cell r="G92">
            <v>1</v>
          </cell>
        </row>
        <row r="95">
          <cell r="G95">
            <v>0</v>
          </cell>
        </row>
        <row r="100">
          <cell r="G100">
            <v>0.5</v>
          </cell>
        </row>
        <row r="105">
          <cell r="G105">
            <v>1</v>
          </cell>
        </row>
        <row r="109">
          <cell r="G109">
            <v>1</v>
          </cell>
        </row>
        <row r="114">
          <cell r="G114">
            <v>0.75</v>
          </cell>
        </row>
        <row r="120">
          <cell r="G120">
            <v>0</v>
          </cell>
        </row>
        <row r="125">
          <cell r="G125">
            <v>0.66666666666666663</v>
          </cell>
        </row>
        <row r="130">
          <cell r="G130">
            <v>1</v>
          </cell>
        </row>
        <row r="135">
          <cell r="G135">
            <v>0.5</v>
          </cell>
        </row>
        <row r="141">
          <cell r="G141">
            <v>0</v>
          </cell>
        </row>
        <row r="149">
          <cell r="G149">
            <v>0.2</v>
          </cell>
        </row>
        <row r="156">
          <cell r="G156">
            <v>1</v>
          </cell>
        </row>
        <row r="163">
          <cell r="G163">
            <v>0.4</v>
          </cell>
        </row>
        <row r="170">
          <cell r="D170">
            <v>0</v>
          </cell>
        </row>
        <row r="171">
          <cell r="D171">
            <v>0</v>
          </cell>
        </row>
        <row r="174">
          <cell r="G174">
            <v>0</v>
          </cell>
        </row>
        <row r="178">
          <cell r="G178">
            <v>0</v>
          </cell>
        </row>
        <row r="183">
          <cell r="G183" t="e">
            <v>#REF!</v>
          </cell>
        </row>
        <row r="188">
          <cell r="G188">
            <v>0.4</v>
          </cell>
        </row>
        <row r="195">
          <cell r="G195">
            <v>1</v>
          </cell>
        </row>
        <row r="199">
          <cell r="G199">
            <v>0.48498737373737372</v>
          </cell>
        </row>
        <row r="200">
          <cell r="G200" t="e">
            <v>#REF!</v>
          </cell>
        </row>
        <row r="201">
          <cell r="G201">
            <v>0.37724747474747478</v>
          </cell>
        </row>
      </sheetData>
      <sheetData sheetId="23">
        <row r="2">
          <cell r="G2">
            <v>0.2</v>
          </cell>
        </row>
        <row r="3">
          <cell r="G3">
            <v>0</v>
          </cell>
        </row>
        <row r="4">
          <cell r="G4">
            <v>0</v>
          </cell>
        </row>
        <row r="5">
          <cell r="G5">
            <v>0</v>
          </cell>
        </row>
        <row r="6">
          <cell r="G6">
            <v>0.6</v>
          </cell>
        </row>
        <row r="7">
          <cell r="G7">
            <v>0</v>
          </cell>
        </row>
        <row r="8">
          <cell r="G8">
            <v>0.2</v>
          </cell>
        </row>
        <row r="9">
          <cell r="G9">
            <v>0</v>
          </cell>
        </row>
        <row r="10">
          <cell r="G10">
            <v>0</v>
          </cell>
        </row>
        <row r="15">
          <cell r="G15">
            <v>0</v>
          </cell>
        </row>
        <row r="19">
          <cell r="G19">
            <v>0.25</v>
          </cell>
        </row>
        <row r="25">
          <cell r="G25">
            <v>0</v>
          </cell>
        </row>
        <row r="30">
          <cell r="G30">
            <v>0.66666666666666663</v>
          </cell>
        </row>
        <row r="35">
          <cell r="G35">
            <v>1</v>
          </cell>
        </row>
        <row r="40">
          <cell r="G40">
            <v>0.5</v>
          </cell>
        </row>
        <row r="46">
          <cell r="G46">
            <v>1</v>
          </cell>
        </row>
        <row r="61">
          <cell r="G61">
            <v>1</v>
          </cell>
        </row>
        <row r="62">
          <cell r="G62">
            <v>0</v>
          </cell>
        </row>
      </sheetData>
      <sheetData sheetId="24">
        <row r="3">
          <cell r="D3">
            <v>0</v>
          </cell>
        </row>
        <row r="4">
          <cell r="D4">
            <v>0</v>
          </cell>
        </row>
        <row r="5">
          <cell r="G5">
            <v>1</v>
          </cell>
        </row>
        <row r="12">
          <cell r="G12">
            <v>0.25</v>
          </cell>
        </row>
        <row r="18">
          <cell r="G18">
            <v>0.25</v>
          </cell>
        </row>
        <row r="29">
          <cell r="G29">
            <v>0</v>
          </cell>
        </row>
        <row r="33">
          <cell r="D33">
            <v>0</v>
          </cell>
        </row>
        <row r="34">
          <cell r="G34">
            <v>1</v>
          </cell>
        </row>
        <row r="37">
          <cell r="G37" t="str">
            <v/>
          </cell>
        </row>
        <row r="40">
          <cell r="G40" t="str">
            <v/>
          </cell>
        </row>
        <row r="48">
          <cell r="G48" t="str">
            <v/>
          </cell>
        </row>
        <row r="52">
          <cell r="G52" t="str">
            <v/>
          </cell>
        </row>
        <row r="56">
          <cell r="G56" t="str">
            <v/>
          </cell>
        </row>
        <row r="62">
          <cell r="G62">
            <v>1</v>
          </cell>
        </row>
        <row r="68">
          <cell r="G68">
            <v>0</v>
          </cell>
        </row>
        <row r="71">
          <cell r="G71">
            <v>0</v>
          </cell>
        </row>
        <row r="80">
          <cell r="G80" t="str">
            <v/>
          </cell>
        </row>
        <row r="86">
          <cell r="G86" t="str">
            <v/>
          </cell>
        </row>
        <row r="89">
          <cell r="G89" t="str">
            <v/>
          </cell>
        </row>
        <row r="105">
          <cell r="G105">
            <v>0</v>
          </cell>
        </row>
        <row r="110">
          <cell r="G110">
            <v>0</v>
          </cell>
        </row>
        <row r="115">
          <cell r="G115">
            <v>0</v>
          </cell>
        </row>
        <row r="116">
          <cell r="G116" t="str">
            <v/>
          </cell>
        </row>
        <row r="122">
          <cell r="G122" t="str">
            <v/>
          </cell>
        </row>
        <row r="127">
          <cell r="G127">
            <v>1</v>
          </cell>
        </row>
        <row r="133">
          <cell r="G133">
            <v>0.5</v>
          </cell>
        </row>
        <row r="139">
          <cell r="G139">
            <v>0.8</v>
          </cell>
        </row>
        <row r="146">
          <cell r="G146">
            <v>0</v>
          </cell>
        </row>
        <row r="153">
          <cell r="G153">
            <v>0.5</v>
          </cell>
        </row>
        <row r="157">
          <cell r="G157">
            <v>0</v>
          </cell>
        </row>
        <row r="163">
          <cell r="G163">
            <v>0.9</v>
          </cell>
        </row>
        <row r="170">
          <cell r="G170">
            <v>0</v>
          </cell>
        </row>
        <row r="174">
          <cell r="G174">
            <v>0</v>
          </cell>
        </row>
        <row r="179">
          <cell r="G179">
            <v>0.6</v>
          </cell>
        </row>
        <row r="186">
          <cell r="G186" t="b">
            <v>0</v>
          </cell>
        </row>
        <row r="187">
          <cell r="G187">
            <v>0.25</v>
          </cell>
        </row>
        <row r="188">
          <cell r="G188">
            <v>0.33333333333333331</v>
          </cell>
        </row>
        <row r="189">
          <cell r="G189">
            <v>0.55999999999999994</v>
          </cell>
        </row>
      </sheetData>
      <sheetData sheetId="25">
        <row r="3">
          <cell r="G3">
            <v>0</v>
          </cell>
        </row>
        <row r="13">
          <cell r="G13">
            <v>0.6</v>
          </cell>
        </row>
        <row r="20">
          <cell r="G20">
            <v>1</v>
          </cell>
        </row>
        <row r="23">
          <cell r="G23" t="str">
            <v/>
          </cell>
        </row>
        <row r="27">
          <cell r="G27" t="str">
            <v/>
          </cell>
        </row>
        <row r="37">
          <cell r="G37">
            <v>1</v>
          </cell>
        </row>
        <row r="46">
          <cell r="G46">
            <v>0</v>
          </cell>
        </row>
        <row r="49">
          <cell r="G49">
            <v>1</v>
          </cell>
        </row>
        <row r="55">
          <cell r="G55" t="str">
            <v/>
          </cell>
        </row>
        <row r="65">
          <cell r="G65" t="str">
            <v/>
          </cell>
        </row>
        <row r="76">
          <cell r="G76" t="e">
            <v>#REF!</v>
          </cell>
        </row>
      </sheetData>
      <sheetData sheetId="26">
        <row r="2">
          <cell r="G2">
            <v>1</v>
          </cell>
        </row>
        <row r="6">
          <cell r="G6">
            <v>-1</v>
          </cell>
        </row>
        <row r="9">
          <cell r="G9">
            <v>1</v>
          </cell>
        </row>
        <row r="16">
          <cell r="G16">
            <v>0.66666666666666663</v>
          </cell>
        </row>
        <row r="20">
          <cell r="G20" t="str">
            <v/>
          </cell>
        </row>
        <row r="22">
          <cell r="G22" t="str">
            <v/>
          </cell>
        </row>
        <row r="24">
          <cell r="G24" t="str">
            <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
      <sheetName val="FieldF"/>
      <sheetName val="FieldS"/>
      <sheetName val="FinalScores"/>
      <sheetName val="AllSites"/>
      <sheetName val="WS"/>
      <sheetName val="SR"/>
      <sheetName val="PR"/>
      <sheetName val="NR"/>
      <sheetName val="T"/>
      <sheetName val="CS"/>
      <sheetName val="OE"/>
      <sheetName val="INV"/>
      <sheetName val="FA"/>
      <sheetName val="FR"/>
      <sheetName val="AM"/>
      <sheetName val="WBF"/>
      <sheetName val="WBN"/>
      <sheetName val="SBM"/>
      <sheetName val="POL"/>
      <sheetName val="PD"/>
      <sheetName val="STR"/>
      <sheetName val="Sen"/>
      <sheetName val="CQ"/>
      <sheetName val="PU"/>
      <sheetName val="PS"/>
      <sheetName val="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06">
          <cell r="G206">
            <v>1</v>
          </cell>
        </row>
      </sheetData>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Narrow">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31"/>
  <sheetViews>
    <sheetView tabSelected="1" workbookViewId="0">
      <selection activeCell="C21" sqref="C21"/>
    </sheetView>
  </sheetViews>
  <sheetFormatPr defaultColWidth="9.33203125" defaultRowHeight="12.75" x14ac:dyDescent="0.2"/>
  <cols>
    <col min="1" max="1" width="5.83203125" style="5" customWidth="1"/>
    <col min="2" max="2" width="66.83203125" style="5" customWidth="1"/>
    <col min="3" max="3" width="32.6640625" style="670" customWidth="1"/>
    <col min="4" max="4" width="43.1640625" style="630" customWidth="1"/>
    <col min="5" max="5" width="9.6640625" style="3" customWidth="1"/>
    <col min="6" max="6" width="9.33203125" style="3"/>
    <col min="7" max="7" width="9.6640625" style="3" customWidth="1"/>
    <col min="8" max="8" width="9" style="3" customWidth="1"/>
    <col min="9" max="24" width="9.33203125" style="3"/>
    <col min="25" max="16384" width="9.33203125" style="5"/>
  </cols>
  <sheetData>
    <row r="1" spans="1:24" ht="62.25" customHeight="1" thickBot="1" x14ac:dyDescent="0.25">
      <c r="A1" s="1822" t="s">
        <v>2501</v>
      </c>
      <c r="B1" s="1822"/>
      <c r="C1" s="1823"/>
    </row>
    <row r="2" spans="1:24" ht="24" customHeight="1" x14ac:dyDescent="0.2">
      <c r="A2" s="991">
        <v>1</v>
      </c>
      <c r="B2" s="988" t="s">
        <v>2293</v>
      </c>
      <c r="C2" s="979"/>
    </row>
    <row r="3" spans="1:24" ht="24" customHeight="1" x14ac:dyDescent="0.2">
      <c r="A3" s="992">
        <v>2</v>
      </c>
      <c r="B3" s="989" t="s">
        <v>2294</v>
      </c>
      <c r="C3" s="980"/>
    </row>
    <row r="4" spans="1:24" ht="30" customHeight="1" x14ac:dyDescent="0.2">
      <c r="A4" s="992">
        <v>3</v>
      </c>
      <c r="B4" s="989" t="s">
        <v>2295</v>
      </c>
      <c r="C4" s="981"/>
      <c r="D4" s="5"/>
    </row>
    <row r="5" spans="1:24" ht="30" customHeight="1" x14ac:dyDescent="0.2">
      <c r="A5" s="992">
        <v>4</v>
      </c>
      <c r="B5" s="1271"/>
      <c r="C5" s="980"/>
    </row>
    <row r="6" spans="1:24" ht="20.100000000000001" customHeight="1" x14ac:dyDescent="0.2">
      <c r="A6" s="1827">
        <v>5</v>
      </c>
      <c r="B6" s="1824" t="s">
        <v>2296</v>
      </c>
      <c r="C6" s="982"/>
    </row>
    <row r="7" spans="1:24" ht="20.100000000000001" customHeight="1" x14ac:dyDescent="0.2">
      <c r="A7" s="1828"/>
      <c r="B7" s="1825"/>
      <c r="C7" s="982"/>
    </row>
    <row r="8" spans="1:24" ht="20.100000000000001" customHeight="1" x14ac:dyDescent="0.2">
      <c r="A8" s="1828"/>
      <c r="B8" s="1825"/>
      <c r="C8" s="982"/>
    </row>
    <row r="9" spans="1:24" ht="20.100000000000001" customHeight="1" x14ac:dyDescent="0.2">
      <c r="A9" s="1828"/>
      <c r="B9" s="1825"/>
      <c r="C9" s="982"/>
    </row>
    <row r="10" spans="1:24" ht="20.100000000000001" customHeight="1" x14ac:dyDescent="0.2">
      <c r="A10" s="1829"/>
      <c r="B10" s="1826"/>
      <c r="C10" s="982"/>
    </row>
    <row r="11" spans="1:24" ht="20.100000000000001" customHeight="1" x14ac:dyDescent="0.2">
      <c r="A11" s="1827">
        <v>6</v>
      </c>
      <c r="B11" s="1824" t="s">
        <v>2297</v>
      </c>
      <c r="C11" s="983"/>
    </row>
    <row r="12" spans="1:24" ht="20.100000000000001" customHeight="1" x14ac:dyDescent="0.2">
      <c r="A12" s="1828"/>
      <c r="B12" s="1825"/>
      <c r="C12" s="983"/>
      <c r="D12" s="940"/>
      <c r="E12" s="940"/>
      <c r="F12" s="940"/>
      <c r="G12" s="940"/>
      <c r="H12" s="940"/>
      <c r="I12" s="940"/>
      <c r="J12" s="940"/>
      <c r="K12" s="940"/>
      <c r="L12" s="940"/>
      <c r="M12" s="940"/>
      <c r="N12" s="940"/>
      <c r="O12" s="940"/>
      <c r="P12" s="940"/>
      <c r="Q12" s="940"/>
      <c r="R12" s="940"/>
      <c r="S12" s="940"/>
      <c r="T12" s="940"/>
      <c r="U12" s="940"/>
      <c r="V12" s="940"/>
      <c r="W12" s="940"/>
      <c r="X12" s="940"/>
    </row>
    <row r="13" spans="1:24" ht="20.100000000000001" customHeight="1" x14ac:dyDescent="0.2">
      <c r="A13" s="1828"/>
      <c r="B13" s="1825"/>
      <c r="C13" s="983"/>
      <c r="D13" s="940"/>
      <c r="E13" s="940"/>
      <c r="F13" s="940"/>
      <c r="G13" s="940"/>
      <c r="H13" s="940"/>
      <c r="I13" s="940"/>
      <c r="J13" s="940"/>
      <c r="K13" s="940"/>
      <c r="L13" s="940"/>
      <c r="M13" s="940"/>
      <c r="N13" s="940"/>
      <c r="O13" s="940"/>
      <c r="P13" s="940"/>
      <c r="Q13" s="940"/>
      <c r="R13" s="940"/>
      <c r="S13" s="940"/>
      <c r="T13" s="940"/>
      <c r="U13" s="940"/>
      <c r="V13" s="940"/>
      <c r="W13" s="940"/>
      <c r="X13" s="940"/>
    </row>
    <row r="14" spans="1:24" ht="20.100000000000001" customHeight="1" x14ac:dyDescent="0.2">
      <c r="A14" s="1828"/>
      <c r="B14" s="1825"/>
      <c r="C14" s="983"/>
      <c r="D14" s="940"/>
      <c r="E14" s="940"/>
      <c r="F14" s="940"/>
      <c r="G14" s="940"/>
      <c r="H14" s="940"/>
      <c r="I14" s="940"/>
      <c r="J14" s="940"/>
      <c r="K14" s="940"/>
      <c r="L14" s="940"/>
      <c r="M14" s="940"/>
      <c r="N14" s="940"/>
      <c r="O14" s="940"/>
      <c r="P14" s="940"/>
      <c r="Q14" s="940"/>
      <c r="R14" s="940"/>
      <c r="S14" s="940"/>
      <c r="T14" s="940"/>
      <c r="U14" s="940"/>
      <c r="V14" s="940"/>
      <c r="W14" s="940"/>
      <c r="X14" s="940"/>
    </row>
    <row r="15" spans="1:24" ht="20.100000000000001" customHeight="1" x14ac:dyDescent="0.2">
      <c r="A15" s="1828"/>
      <c r="B15" s="1825"/>
      <c r="C15" s="983"/>
      <c r="D15" s="940"/>
      <c r="E15" s="940"/>
      <c r="F15" s="940"/>
      <c r="G15" s="940"/>
      <c r="H15" s="940"/>
      <c r="I15" s="940"/>
      <c r="J15" s="940"/>
      <c r="K15" s="940"/>
      <c r="L15" s="940"/>
      <c r="M15" s="940"/>
      <c r="N15" s="940"/>
      <c r="O15" s="940"/>
      <c r="P15" s="940"/>
      <c r="Q15" s="940"/>
      <c r="R15" s="940"/>
      <c r="S15" s="940"/>
      <c r="T15" s="940"/>
      <c r="U15" s="940"/>
      <c r="V15" s="940"/>
      <c r="W15" s="940"/>
      <c r="X15" s="940"/>
    </row>
    <row r="16" spans="1:24" ht="20.100000000000001" customHeight="1" x14ac:dyDescent="0.2">
      <c r="A16" s="1829"/>
      <c r="B16" s="1826"/>
      <c r="C16" s="983"/>
      <c r="D16" s="940"/>
      <c r="E16" s="940"/>
      <c r="F16" s="940"/>
      <c r="G16" s="940"/>
      <c r="H16" s="940"/>
      <c r="I16" s="940"/>
      <c r="J16" s="940"/>
      <c r="K16" s="940"/>
      <c r="L16" s="940"/>
      <c r="M16" s="940"/>
      <c r="N16" s="940"/>
      <c r="O16" s="940"/>
      <c r="P16" s="940"/>
      <c r="Q16" s="940"/>
      <c r="R16" s="940"/>
      <c r="S16" s="940"/>
      <c r="T16" s="940"/>
      <c r="U16" s="940"/>
      <c r="V16" s="940"/>
      <c r="W16" s="940"/>
      <c r="X16" s="940"/>
    </row>
    <row r="17" spans="1:24" s="9" customFormat="1" ht="20.100000000000001" customHeight="1" x14ac:dyDescent="0.2">
      <c r="A17" s="1827">
        <v>7</v>
      </c>
      <c r="B17" s="1824" t="s">
        <v>2298</v>
      </c>
      <c r="C17" s="984"/>
      <c r="D17" s="28"/>
      <c r="E17" s="28"/>
      <c r="F17" s="28"/>
      <c r="G17" s="28"/>
      <c r="H17" s="29"/>
      <c r="I17" s="29"/>
      <c r="J17" s="30"/>
      <c r="K17" s="7"/>
      <c r="L17" s="7"/>
      <c r="M17" s="7"/>
      <c r="N17" s="7"/>
      <c r="O17" s="7"/>
      <c r="P17" s="7"/>
      <c r="Q17" s="7"/>
      <c r="R17" s="7"/>
      <c r="S17" s="7"/>
      <c r="T17" s="7"/>
    </row>
    <row r="18" spans="1:24" s="9" customFormat="1" ht="20.100000000000001" customHeight="1" x14ac:dyDescent="0.2">
      <c r="A18" s="1828"/>
      <c r="B18" s="1825"/>
      <c r="C18" s="984"/>
      <c r="D18" s="28"/>
      <c r="E18" s="28"/>
      <c r="F18" s="28"/>
      <c r="G18" s="28"/>
      <c r="H18" s="29"/>
      <c r="I18" s="29"/>
      <c r="J18" s="30"/>
      <c r="K18" s="7"/>
      <c r="L18" s="7"/>
      <c r="M18" s="7"/>
      <c r="N18" s="7"/>
      <c r="O18" s="7"/>
      <c r="P18" s="7"/>
      <c r="Q18" s="7"/>
      <c r="R18" s="7"/>
      <c r="S18" s="7"/>
      <c r="T18" s="7"/>
    </row>
    <row r="19" spans="1:24" s="9" customFormat="1" ht="20.100000000000001" customHeight="1" x14ac:dyDescent="0.2">
      <c r="A19" s="1828"/>
      <c r="B19" s="1825"/>
      <c r="C19" s="984"/>
      <c r="D19" s="28"/>
      <c r="E19" s="28"/>
      <c r="F19" s="28"/>
      <c r="G19" s="28"/>
      <c r="H19" s="29"/>
      <c r="I19" s="29"/>
      <c r="J19" s="30"/>
      <c r="K19" s="7"/>
      <c r="L19" s="7"/>
      <c r="M19" s="7"/>
      <c r="N19" s="7"/>
      <c r="O19" s="7"/>
      <c r="P19" s="7"/>
      <c r="Q19" s="7"/>
      <c r="R19" s="7"/>
      <c r="S19" s="7"/>
      <c r="T19" s="7"/>
    </row>
    <row r="20" spans="1:24" s="9" customFormat="1" ht="20.100000000000001" customHeight="1" x14ac:dyDescent="0.2">
      <c r="A20" s="1828"/>
      <c r="B20" s="1825"/>
      <c r="C20" s="984"/>
      <c r="D20" s="28"/>
      <c r="E20" s="28"/>
      <c r="F20" s="28"/>
      <c r="G20" s="28"/>
      <c r="H20" s="29"/>
      <c r="I20" s="29"/>
      <c r="J20" s="30"/>
      <c r="K20" s="7"/>
      <c r="L20" s="7"/>
      <c r="M20" s="7"/>
      <c r="N20" s="7"/>
      <c r="O20" s="7"/>
      <c r="P20" s="7"/>
      <c r="Q20" s="7"/>
      <c r="R20" s="7"/>
      <c r="S20" s="7"/>
      <c r="T20" s="7"/>
    </row>
    <row r="21" spans="1:24" s="9" customFormat="1" ht="20.100000000000001" customHeight="1" x14ac:dyDescent="0.2">
      <c r="A21" s="1828"/>
      <c r="B21" s="1825"/>
      <c r="C21" s="984"/>
      <c r="D21" s="28"/>
      <c r="E21" s="28"/>
      <c r="F21" s="28"/>
      <c r="G21" s="28"/>
      <c r="H21" s="29"/>
      <c r="I21" s="29"/>
      <c r="J21" s="30"/>
      <c r="K21" s="7"/>
      <c r="L21" s="7"/>
      <c r="M21" s="7"/>
      <c r="N21" s="7"/>
      <c r="O21" s="7"/>
      <c r="P21" s="7"/>
      <c r="Q21" s="7"/>
      <c r="R21" s="7"/>
      <c r="S21" s="7"/>
      <c r="T21" s="7"/>
    </row>
    <row r="22" spans="1:24" s="9" customFormat="1" ht="20.100000000000001" customHeight="1" x14ac:dyDescent="0.2">
      <c r="A22" s="1829"/>
      <c r="B22" s="1826"/>
      <c r="C22" s="984"/>
      <c r="D22" s="28"/>
      <c r="E22" s="28"/>
      <c r="F22" s="28"/>
      <c r="G22" s="28"/>
      <c r="H22" s="29"/>
      <c r="I22" s="29"/>
      <c r="J22" s="30"/>
      <c r="K22" s="7"/>
      <c r="L22" s="7"/>
      <c r="M22" s="7"/>
      <c r="N22" s="7"/>
      <c r="O22" s="7"/>
      <c r="P22" s="7"/>
      <c r="Q22" s="7"/>
      <c r="R22" s="7"/>
      <c r="S22" s="7"/>
      <c r="T22" s="7"/>
    </row>
    <row r="23" spans="1:24" s="9" customFormat="1" ht="30" customHeight="1" x14ac:dyDescent="0.2">
      <c r="A23" s="992">
        <v>8</v>
      </c>
      <c r="B23" s="989" t="s">
        <v>2299</v>
      </c>
      <c r="C23" s="985"/>
      <c r="D23" s="28"/>
      <c r="E23" s="28"/>
      <c r="F23" s="28"/>
      <c r="G23" s="28"/>
      <c r="H23" s="29"/>
      <c r="I23" s="29"/>
      <c r="J23" s="30"/>
      <c r="K23" s="7"/>
      <c r="L23" s="7"/>
      <c r="M23" s="7"/>
      <c r="N23" s="7"/>
      <c r="O23" s="7"/>
      <c r="P23" s="7"/>
      <c r="Q23" s="7"/>
      <c r="R23" s="7"/>
      <c r="S23" s="7"/>
      <c r="T23" s="7"/>
    </row>
    <row r="24" spans="1:24" s="9" customFormat="1" ht="30" customHeight="1" x14ac:dyDescent="0.2">
      <c r="A24" s="992">
        <v>9</v>
      </c>
      <c r="B24" s="989" t="s">
        <v>2300</v>
      </c>
      <c r="C24" s="985"/>
      <c r="D24" s="28"/>
      <c r="E24" s="28"/>
      <c r="F24" s="28"/>
      <c r="G24" s="28"/>
      <c r="H24" s="29"/>
      <c r="I24" s="29"/>
      <c r="J24" s="29"/>
      <c r="K24" s="7"/>
      <c r="L24" s="7"/>
      <c r="M24" s="7"/>
      <c r="N24" s="7"/>
      <c r="O24" s="7"/>
      <c r="P24" s="7"/>
      <c r="Q24" s="7"/>
      <c r="R24" s="7"/>
      <c r="S24" s="7"/>
      <c r="T24" s="7"/>
    </row>
    <row r="25" spans="1:24" s="7" customFormat="1" ht="28.5" x14ac:dyDescent="0.2">
      <c r="A25" s="992">
        <v>10</v>
      </c>
      <c r="B25" s="989" t="s">
        <v>2301</v>
      </c>
      <c r="C25" s="980"/>
      <c r="D25" s="28"/>
      <c r="E25" s="28"/>
      <c r="F25" s="28"/>
      <c r="G25" s="28"/>
      <c r="H25" s="29"/>
      <c r="I25" s="29"/>
      <c r="J25" s="29"/>
    </row>
    <row r="26" spans="1:24" ht="30" customHeight="1" x14ac:dyDescent="0.2">
      <c r="A26" s="992">
        <v>11</v>
      </c>
      <c r="B26" s="989" t="s">
        <v>2302</v>
      </c>
      <c r="C26" s="980"/>
    </row>
    <row r="27" spans="1:24" ht="30" customHeight="1" x14ac:dyDescent="0.2">
      <c r="A27" s="992">
        <v>12</v>
      </c>
      <c r="B27" s="989" t="s">
        <v>2303</v>
      </c>
      <c r="C27" s="980"/>
      <c r="D27" s="940"/>
      <c r="E27" s="940"/>
      <c r="F27" s="940"/>
      <c r="G27" s="940"/>
      <c r="H27" s="940"/>
      <c r="I27" s="940"/>
      <c r="J27" s="940"/>
      <c r="K27" s="940"/>
      <c r="L27" s="940"/>
      <c r="M27" s="940"/>
      <c r="N27" s="940"/>
      <c r="O27" s="940"/>
      <c r="P27" s="940"/>
      <c r="Q27" s="940"/>
      <c r="R27" s="940"/>
      <c r="S27" s="940"/>
      <c r="T27" s="940"/>
      <c r="U27" s="940"/>
      <c r="V27" s="940"/>
      <c r="W27" s="940"/>
      <c r="X27" s="940"/>
    </row>
    <row r="28" spans="1:24" ht="42.75" x14ac:dyDescent="0.2">
      <c r="A28" s="992">
        <v>13</v>
      </c>
      <c r="B28" s="989" t="s">
        <v>2304</v>
      </c>
      <c r="C28" s="1272"/>
    </row>
    <row r="29" spans="1:24" ht="66.75" customHeight="1" thickBot="1" x14ac:dyDescent="0.25">
      <c r="A29" s="992">
        <v>14</v>
      </c>
      <c r="B29" s="990" t="s">
        <v>2305</v>
      </c>
      <c r="C29" s="986"/>
    </row>
    <row r="30" spans="1:24" ht="14.25" x14ac:dyDescent="0.2">
      <c r="A30" s="7"/>
      <c r="B30" s="987"/>
      <c r="C30" s="978"/>
    </row>
    <row r="31" spans="1:24" ht="14.25" x14ac:dyDescent="0.2">
      <c r="B31" s="606"/>
      <c r="C31" s="606"/>
    </row>
  </sheetData>
  <sheetProtection password="C4B9" sheet="1" objects="1" scenarios="1" formatCells="0" formatColumns="0" formatRows="0"/>
  <customSheetViews>
    <customSheetView guid="{B8E02330-2419-4DE6-AD01-7ACC7A5D18DD}" topLeftCell="A15">
      <selection activeCell="A33" sqref="A33"/>
      <pageMargins left="0.25" right="0.25" top="0.75" bottom="0.75" header="0.3" footer="0.3"/>
      <printOptions horizontalCentered="1"/>
      <pageSetup orientation="portrait" horizontalDpi="4294967294" verticalDpi="300" r:id="rId1"/>
      <headerFooter alignWithMargins="0">
        <oddFooter>&amp;LWESPUS beta v1.  by Dr. Paul Adamus&amp;R&amp;D</oddFooter>
      </headerFooter>
    </customSheetView>
  </customSheetViews>
  <mergeCells count="7">
    <mergeCell ref="A1:C1"/>
    <mergeCell ref="B6:B10"/>
    <mergeCell ref="B11:B16"/>
    <mergeCell ref="B17:B22"/>
    <mergeCell ref="A11:A16"/>
    <mergeCell ref="A17:A22"/>
    <mergeCell ref="A6:A10"/>
  </mergeCells>
  <phoneticPr fontId="12" type="noConversion"/>
  <printOptions horizontalCentered="1"/>
  <pageMargins left="0.25" right="0.25" top="0.75" bottom="0.75" header="0.3" footer="0.3"/>
  <pageSetup orientation="portrait" horizontalDpi="4294967294" verticalDpi="300" r:id="rId2"/>
  <headerFooter alignWithMargins="0">
    <oddFooter>&amp;LWESPUS beta v1.  by Dr. Paul Adamus&amp;R&amp;D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40"/>
  <sheetViews>
    <sheetView zoomScaleNormal="100" workbookViewId="0">
      <selection activeCell="C10" sqref="C10"/>
    </sheetView>
  </sheetViews>
  <sheetFormatPr defaultColWidth="9.33203125" defaultRowHeight="12.75" x14ac:dyDescent="0.2"/>
  <cols>
    <col min="1" max="1" width="5.83203125" style="1350" customWidth="1"/>
    <col min="2" max="2" width="18.83203125" style="25" customWidth="1"/>
    <col min="3" max="3" width="69.83203125" style="5" customWidth="1"/>
    <col min="4" max="4" width="6.83203125" style="574" customWidth="1"/>
    <col min="5" max="5" width="6.83203125" style="1594" customWidth="1"/>
    <col min="6" max="6" width="6.83203125" style="1595" customWidth="1"/>
    <col min="7" max="7" width="10.83203125" style="215" customWidth="1"/>
    <col min="8" max="8" width="13.6640625" style="118" customWidth="1"/>
    <col min="9" max="9" width="67.83203125" style="5" customWidth="1"/>
    <col min="10" max="10" width="26.1640625" style="5" customWidth="1"/>
    <col min="11" max="11" width="93.33203125" style="5" customWidth="1"/>
    <col min="12" max="12" width="78.1640625" style="5" customWidth="1"/>
    <col min="13" max="16384" width="9.33203125" style="5"/>
  </cols>
  <sheetData>
    <row r="1" spans="1:11" ht="66" customHeight="1" thickBot="1" x14ac:dyDescent="0.25">
      <c r="A1" s="1976" t="s">
        <v>504</v>
      </c>
      <c r="B1" s="1977"/>
      <c r="C1" s="60" t="s">
        <v>679</v>
      </c>
      <c r="D1" s="74" t="s">
        <v>505</v>
      </c>
      <c r="E1" s="1998"/>
      <c r="F1" s="1999"/>
      <c r="G1" s="1999"/>
      <c r="H1" s="1999"/>
      <c r="I1" s="1393" t="s">
        <v>884</v>
      </c>
    </row>
    <row r="2" spans="1:11" s="1014" customFormat="1" ht="50.25" thickBot="1" x14ac:dyDescent="0.25">
      <c r="A2" s="1087" t="s">
        <v>78</v>
      </c>
      <c r="B2" s="1009" t="s">
        <v>701</v>
      </c>
      <c r="C2" s="1010" t="s">
        <v>866</v>
      </c>
      <c r="D2" s="1008"/>
      <c r="E2" s="1011"/>
      <c r="F2" s="1012"/>
      <c r="G2" s="1013" t="s">
        <v>710</v>
      </c>
      <c r="H2" s="1009" t="s">
        <v>2029</v>
      </c>
      <c r="I2" s="1009" t="s">
        <v>255</v>
      </c>
    </row>
    <row r="3" spans="1:11" s="19" customFormat="1" ht="44.45" customHeight="1" thickBot="1" x14ac:dyDescent="0.25">
      <c r="A3" s="1194" t="str">
        <f>OF!A10</f>
        <v>OF9</v>
      </c>
      <c r="B3" s="1194" t="str">
        <f>OF!B10</f>
        <v>ElevPctileHUC8</v>
      </c>
      <c r="C3" s="1048"/>
      <c r="D3" s="1259"/>
      <c r="E3" s="321"/>
      <c r="F3" s="321"/>
      <c r="G3" s="330" t="str">
        <f>IF((ElevPctileHUC8=""),"",ElevPctileHUC8)</f>
        <v/>
      </c>
      <c r="H3" s="1194" t="s">
        <v>670</v>
      </c>
      <c r="I3" s="131" t="s">
        <v>2377</v>
      </c>
    </row>
    <row r="4" spans="1:11" s="1325" customFormat="1" ht="51.75" thickBot="1" x14ac:dyDescent="0.25">
      <c r="A4" s="317" t="str">
        <f>OF!A17</f>
        <v>OF16</v>
      </c>
      <c r="B4" s="318" t="str">
        <f>OF!C17</f>
        <v>Groundwater Discharge Area or Spring</v>
      </c>
      <c r="C4" s="1102"/>
      <c r="D4" s="414"/>
      <c r="E4" s="321"/>
      <c r="F4" s="321"/>
      <c r="G4" s="330" t="str">
        <f>IF((GWDspring=""),"",GWDspring)</f>
        <v/>
      </c>
      <c r="H4" s="331" t="s">
        <v>668</v>
      </c>
      <c r="I4" s="319" t="s">
        <v>832</v>
      </c>
    </row>
    <row r="5" spans="1:11" s="107" customFormat="1" ht="30.75" customHeight="1" thickBot="1" x14ac:dyDescent="0.25">
      <c r="A5" s="317" t="str">
        <f>OF!A24</f>
        <v>OF23</v>
      </c>
      <c r="B5" s="318" t="str">
        <f>OF!C24</f>
        <v>% of AA that is Open Water (macro scale)</v>
      </c>
      <c r="C5" s="1102"/>
      <c r="D5" s="414"/>
      <c r="E5" s="321"/>
      <c r="F5" s="321"/>
      <c r="G5" s="330" t="str">
        <f>IF((OWpct=""),"",OWpct)</f>
        <v/>
      </c>
      <c r="H5" s="331" t="s">
        <v>787</v>
      </c>
      <c r="I5" s="319" t="s">
        <v>833</v>
      </c>
      <c r="J5" s="1325"/>
      <c r="K5" s="1325"/>
    </row>
    <row r="6" spans="1:11" s="107" customFormat="1" ht="55.5" customHeight="1" thickBot="1" x14ac:dyDescent="0.25">
      <c r="A6" s="317" t="str">
        <f>OF!A28</f>
        <v>OF27</v>
      </c>
      <c r="B6" s="318" t="str">
        <f>OF!C28</f>
        <v>Climate Moisture Surplus (P-PET)</v>
      </c>
      <c r="C6" s="1102"/>
      <c r="D6" s="414"/>
      <c r="E6" s="321"/>
      <c r="F6" s="321"/>
      <c r="G6" s="330" t="str">
        <f>IF((PPET=""),"",PPET)</f>
        <v/>
      </c>
      <c r="H6" s="331" t="s">
        <v>664</v>
      </c>
      <c r="I6" s="319" t="s">
        <v>1047</v>
      </c>
      <c r="J6" s="1325"/>
      <c r="K6" s="1325"/>
    </row>
    <row r="7" spans="1:11" s="1325" customFormat="1" ht="104.25" customHeight="1" thickBot="1" x14ac:dyDescent="0.25">
      <c r="A7" s="317" t="str">
        <f>OF!A37</f>
        <v>OF36</v>
      </c>
      <c r="B7" s="318" t="str">
        <f>OF!C37</f>
        <v>Subzero Days</v>
      </c>
      <c r="C7" s="1102" t="s">
        <v>867</v>
      </c>
      <c r="D7" s="414"/>
      <c r="E7" s="321"/>
      <c r="F7" s="321"/>
      <c r="G7" s="330" t="str">
        <f>IF((Sub0Days=""),"",Sub0Days)</f>
        <v/>
      </c>
      <c r="H7" s="331" t="s">
        <v>689</v>
      </c>
      <c r="I7" s="319" t="s">
        <v>1090</v>
      </c>
    </row>
    <row r="8" spans="1:11" s="1325" customFormat="1" ht="44.25" customHeight="1" thickBot="1" x14ac:dyDescent="0.25">
      <c r="A8" s="317" t="str">
        <f>OF!A44</f>
        <v>OF43</v>
      </c>
      <c r="B8" s="318" t="str">
        <f>OF!C44</f>
        <v>AA Size</v>
      </c>
      <c r="C8" s="1102"/>
      <c r="D8" s="414"/>
      <c r="E8" s="321"/>
      <c r="F8" s="321"/>
      <c r="G8" s="330" t="str">
        <f>IF((WetArea=""),"",WetArea)</f>
        <v/>
      </c>
      <c r="H8" s="331" t="s">
        <v>655</v>
      </c>
      <c r="I8" s="319" t="s">
        <v>1339</v>
      </c>
    </row>
    <row r="9" spans="1:11" s="1325" customFormat="1" ht="39.75" customHeight="1" thickBot="1" x14ac:dyDescent="0.25">
      <c r="A9" s="317" t="str">
        <f>OF!A49</f>
        <v>OF48</v>
      </c>
      <c r="B9" s="318" t="str">
        <f>OF!C49</f>
        <v>Upland Edge Index</v>
      </c>
      <c r="C9" s="1102"/>
      <c r="D9" s="414"/>
      <c r="E9" s="321"/>
      <c r="F9" s="321"/>
      <c r="G9" s="330" t="str">
        <f>IF((WetPerim2Area=""),"",WetPerim2Area)</f>
        <v/>
      </c>
      <c r="H9" s="331" t="s">
        <v>657</v>
      </c>
      <c r="I9" s="319" t="s">
        <v>1089</v>
      </c>
      <c r="J9" s="107"/>
      <c r="K9" s="107"/>
    </row>
    <row r="10" spans="1:11" s="1325" customFormat="1" ht="81" customHeight="1" thickBot="1" x14ac:dyDescent="0.25">
      <c r="A10" s="317" t="str">
        <f>OF!A50</f>
        <v>OF49</v>
      </c>
      <c r="B10" s="318" t="str">
        <f>OF!C50</f>
        <v>Wetland Vegetated Area (in hectares)</v>
      </c>
      <c r="C10" s="1102"/>
      <c r="D10" s="414"/>
      <c r="E10" s="321"/>
      <c r="F10" s="321"/>
      <c r="G10" s="330" t="str">
        <f>IF((WetVegArea=""),"",WetVegArea)</f>
        <v/>
      </c>
      <c r="H10" s="331" t="s">
        <v>656</v>
      </c>
      <c r="I10" s="319" t="s">
        <v>1341</v>
      </c>
      <c r="K10" s="753" t="s">
        <v>1837</v>
      </c>
    </row>
    <row r="11" spans="1:11" s="1325" customFormat="1" ht="84" customHeight="1" thickBot="1" x14ac:dyDescent="0.25">
      <c r="A11" s="317" t="str">
        <f>OF!A52</f>
        <v>OF51</v>
      </c>
      <c r="B11" s="318" t="str">
        <f>OF!C52</f>
        <v>Wind Energy - Summer</v>
      </c>
      <c r="C11" s="1102"/>
      <c r="D11" s="414"/>
      <c r="E11" s="321"/>
      <c r="F11" s="321"/>
      <c r="G11" s="330" t="str">
        <f>IF((WindSumm=""),"",WindSumm)</f>
        <v/>
      </c>
      <c r="H11" s="331" t="s">
        <v>666</v>
      </c>
      <c r="I11" s="319" t="s">
        <v>2427</v>
      </c>
    </row>
    <row r="12" spans="1:11" s="1" customFormat="1" ht="42" customHeight="1" thickBot="1" x14ac:dyDescent="0.25">
      <c r="A12" s="631" t="s">
        <v>78</v>
      </c>
      <c r="B12" s="1240" t="s">
        <v>709</v>
      </c>
      <c r="C12" s="632" t="s">
        <v>708</v>
      </c>
      <c r="D12" s="633" t="s">
        <v>33</v>
      </c>
      <c r="E12" s="1241" t="s">
        <v>1131</v>
      </c>
      <c r="F12" s="635" t="s">
        <v>1130</v>
      </c>
      <c r="G12" s="636" t="s">
        <v>710</v>
      </c>
      <c r="H12" s="1242" t="s">
        <v>2028</v>
      </c>
      <c r="I12" s="638" t="s">
        <v>917</v>
      </c>
      <c r="J12" s="44"/>
    </row>
    <row r="13" spans="1:11" s="1" customFormat="1" ht="22.5" customHeight="1" thickBot="1" x14ac:dyDescent="0.25">
      <c r="A13" s="1846" t="s">
        <v>1276</v>
      </c>
      <c r="B13" s="1850" t="s">
        <v>552</v>
      </c>
      <c r="C13" s="1289" t="str">
        <f>F!C5</f>
        <v>Follow the key below and mark the ONE row that best describes MOST of the AA:</v>
      </c>
      <c r="D13" s="1304"/>
      <c r="E13" s="460"/>
      <c r="F13" s="460"/>
      <c r="G13" s="1305">
        <f>MAX(F14:F19)/MAX(E14:E19)</f>
        <v>0</v>
      </c>
      <c r="H13" s="2001" t="s">
        <v>2252</v>
      </c>
      <c r="I13" s="1994" t="s">
        <v>1797</v>
      </c>
      <c r="J13" s="44"/>
    </row>
    <row r="14" spans="1:11" s="1" customFormat="1" ht="42" customHeight="1" x14ac:dyDescent="0.2">
      <c r="A14" s="1856"/>
      <c r="B14" s="1851"/>
      <c r="C14" s="1306" t="str">
        <f>F!C6</f>
        <v>A. Moss and/or lichen cover more than 25% of the ground. Substrate is mostly undecomposed peat. Choose between A1 and A2 and mark the choice with a 1 in their adjoining column. Otherwise go to B below.</v>
      </c>
      <c r="D14" s="460"/>
      <c r="E14" s="460"/>
      <c r="F14" s="460"/>
      <c r="G14" s="460"/>
      <c r="H14" s="2002"/>
      <c r="I14" s="1995"/>
      <c r="J14" s="44"/>
    </row>
    <row r="15" spans="1:11" s="1" customFormat="1" ht="86.25" customHeight="1" x14ac:dyDescent="0.2">
      <c r="A15" s="1856"/>
      <c r="B15" s="1851"/>
      <c r="C15" s="1307" t="str">
        <f>F!C7</f>
        <v xml:space="preserve">   A1. Surface water is usually absent or, if present, pH is typically &lt;4.5 and conductivity is &lt;100 µS/cm (about 64 ppm TDS).  Often dominated by ericaceous shrubs (e.g., Labrador tea, lingonberry), sometimes with pitcher plant, sundew. Sedge cover usually sparse or absent. Trees, if present, are mainly limited to black spruce.  Wetland surface is never sloping, except sometimes from wetland center towards outer edges (convex), and surrounding landscape is flat.  Inlet and outlet channels are usually absent.</v>
      </c>
      <c r="D15" s="1080">
        <f>F!D7</f>
        <v>0</v>
      </c>
      <c r="E15" s="460">
        <v>1</v>
      </c>
      <c r="F15" s="460"/>
      <c r="G15" s="460"/>
      <c r="H15" s="2002"/>
      <c r="I15" s="1995"/>
      <c r="J15" s="44"/>
    </row>
    <row r="16" spans="1:11" s="1" customFormat="1" ht="63.75" x14ac:dyDescent="0.2">
      <c r="A16" s="1856"/>
      <c r="B16" s="1851"/>
      <c r="C16" s="1307" t="str">
        <f>F!C8</f>
        <v xml:space="preserve">   A2. Not A1. Surface water, if present, has pH typically &gt;4.5 and conductivity is &gt;100 µS/cm.  Sedges and/or cottongrass often dominate the ground cover, while ericaceous shrubs and black spruce may also be present. Sometimes at toe of slope or edge of water body. An exit channel is usually present. Wetter than A1, often with many small persistent pools.</v>
      </c>
      <c r="D16" s="1080">
        <f>F!D8</f>
        <v>0</v>
      </c>
      <c r="E16" s="460">
        <v>0</v>
      </c>
      <c r="F16" s="460"/>
      <c r="G16" s="460"/>
      <c r="H16" s="2002"/>
      <c r="I16" s="1995"/>
      <c r="J16" s="44"/>
    </row>
    <row r="17" spans="1:10" s="1" customFormat="1" ht="42" customHeight="1" x14ac:dyDescent="0.2">
      <c r="A17" s="1856"/>
      <c r="B17" s="1851"/>
      <c r="C17" s="1307" t="str">
        <f>F!C9</f>
        <v>B. Moss and/or lichen cover less than 25% of the ground. Soil is mineral or decomposed organic (muck). Choose between B1 and B2 and mark the choice with a 1 in their adjoining column:</v>
      </c>
      <c r="D17" s="460"/>
      <c r="E17" s="460"/>
      <c r="F17" s="460"/>
      <c r="G17" s="460"/>
      <c r="H17" s="2002"/>
      <c r="I17" s="1995"/>
      <c r="J17" s="44"/>
    </row>
    <row r="18" spans="1:10" s="1" customFormat="1" ht="42" customHeight="1" x14ac:dyDescent="0.2">
      <c r="A18" s="1856"/>
      <c r="B18" s="1851"/>
      <c r="C18" s="1307" t="str">
        <f>F!C10</f>
        <v xml:space="preserve">   B1. Trees and shrubs taller than 1 m comprise more than 25% of the vegetated cover. Surface water is mostly absent or inundates the vegetation only seasonally (e.g., snowmelt pools or floodplain).  Often in riparian settings, abandoned beaver flowages.</v>
      </c>
      <c r="D18" s="1080">
        <f>F!D10</f>
        <v>0</v>
      </c>
      <c r="E18" s="460">
        <v>2</v>
      </c>
      <c r="F18" s="460"/>
      <c r="G18" s="460"/>
      <c r="H18" s="2002"/>
      <c r="I18" s="1995"/>
      <c r="J18" s="44"/>
    </row>
    <row r="19" spans="1:10" s="1" customFormat="1" ht="78" customHeight="1" thickBot="1" x14ac:dyDescent="0.25">
      <c r="A19" s="1857"/>
      <c r="B19" s="1852"/>
      <c r="C19" s="1307" t="str">
        <f>F!C11</f>
        <v xml:space="preserve">   B2. Not B1.  Tree &amp; tall shrubs taller than 1 m comprise less than 25% of the vegetated cover. Vegetation is mostly herbaceous, e.g., cattail, bulrush, burreed, pond lily, horsetail.  Often in depressions (potholes, created ponds), or along lakes and rivers, or where fill has blocked water movement causing prolonged flooding of wetlands formerly covered by moss.  Surface water often fluctuates widely among seasons and years.</v>
      </c>
      <c r="D19" s="1080">
        <f>F!D11</f>
        <v>0</v>
      </c>
      <c r="E19" s="460">
        <v>3</v>
      </c>
      <c r="F19" s="460"/>
      <c r="G19" s="460"/>
      <c r="H19" s="2003"/>
      <c r="I19" s="1996"/>
      <c r="J19" s="44"/>
    </row>
    <row r="20" spans="1:10" ht="44.25" customHeight="1" thickBot="1" x14ac:dyDescent="0.25">
      <c r="A20" s="1991" t="str">
        <f>F!A18</f>
        <v>F3</v>
      </c>
      <c r="B20" s="1911" t="str">
        <f>F!B18</f>
        <v>Woody Cover by Height</v>
      </c>
      <c r="C20" s="1380" t="str">
        <f>F!C18</f>
        <v>Following EACH row below, indicate with a number code the percentage of the of the living vegetation in the AA occupied by that feature (5 if &gt;75%,   4 if 50-75%,   3 if 25-50%,   2 if 5-25%,   1 if &lt;5%, 0 if none).  If the AA has no trees or shrubs, SKIP to F8.</v>
      </c>
      <c r="D20" s="1304"/>
      <c r="E20" s="460"/>
      <c r="F20" s="461"/>
      <c r="G20" s="1305">
        <f>IF((D21&gt;3),1, IF((D24&gt;3),1, IF((D22&gt;3),0.8, IF((D23&gt;3),0.6, IF((D25&gt;3),0.2,0)))))</f>
        <v>0</v>
      </c>
      <c r="H20" s="1989" t="s">
        <v>642</v>
      </c>
      <c r="I20" s="1987" t="s">
        <v>2282</v>
      </c>
    </row>
    <row r="21" spans="1:10" ht="15" customHeight="1" x14ac:dyDescent="0.2">
      <c r="A21" s="1991"/>
      <c r="B21" s="1911"/>
      <c r="C21" s="768" t="str">
        <f>F!C19</f>
        <v>coniferous trees (including tamarack) taller than 3 m.</v>
      </c>
      <c r="D21" s="737">
        <f>F!D19</f>
        <v>0</v>
      </c>
      <c r="E21" s="1296"/>
      <c r="F21" s="1562"/>
      <c r="G21" s="1563"/>
      <c r="H21" s="1989"/>
      <c r="I21" s="1987"/>
    </row>
    <row r="22" spans="1:10" ht="15" customHeight="1" x14ac:dyDescent="0.2">
      <c r="A22" s="1991"/>
      <c r="B22" s="1911"/>
      <c r="C22" s="813" t="str">
        <f>F!C20</f>
        <v>deciduous trees taller than 3 m.</v>
      </c>
      <c r="D22" s="737">
        <f>F!D20</f>
        <v>0</v>
      </c>
      <c r="E22" s="1296"/>
      <c r="F22" s="1562"/>
      <c r="G22" s="1563"/>
      <c r="H22" s="1989"/>
      <c r="I22" s="1987"/>
    </row>
    <row r="23" spans="1:10" ht="19.5" customHeight="1" x14ac:dyDescent="0.2">
      <c r="A23" s="1991"/>
      <c r="B23" s="1911"/>
      <c r="C23" s="813" t="str">
        <f>F!C21</f>
        <v>coniferous or ericaceous shrubs or trees 1-3 m tall not directly below the canopy of trees.</v>
      </c>
      <c r="D23" s="737">
        <f>F!D21</f>
        <v>0</v>
      </c>
      <c r="E23" s="1296"/>
      <c r="F23" s="1562"/>
      <c r="G23" s="1563"/>
      <c r="H23" s="1989"/>
      <c r="I23" s="1987"/>
    </row>
    <row r="24" spans="1:10" ht="29.45" customHeight="1" x14ac:dyDescent="0.2">
      <c r="A24" s="1991"/>
      <c r="B24" s="1911"/>
      <c r="C24" s="813" t="str">
        <f>F!C22</f>
        <v>deciduous shrubs or trees 1-3 m tall not directly below the canopy of trees &gt;3 m (e.g., deciduous saplings).</v>
      </c>
      <c r="D24" s="737">
        <f>F!D22</f>
        <v>0</v>
      </c>
      <c r="E24" s="1296"/>
      <c r="F24" s="1562"/>
      <c r="G24" s="1563"/>
      <c r="H24" s="1989"/>
      <c r="I24" s="1987"/>
    </row>
    <row r="25" spans="1:10" ht="25.5" x14ac:dyDescent="0.2">
      <c r="A25" s="1991"/>
      <c r="B25" s="1911"/>
      <c r="C25" s="813" t="str">
        <f>F!C23</f>
        <v>coniferous or ericaceous shrubs or trees &lt;1 m tall not directly below the canopy of taller vegetation.</v>
      </c>
      <c r="D25" s="737">
        <f>F!D23</f>
        <v>0</v>
      </c>
      <c r="E25" s="1564"/>
      <c r="F25" s="335"/>
      <c r="G25" s="1565"/>
      <c r="H25" s="1989"/>
      <c r="I25" s="1987"/>
    </row>
    <row r="26" spans="1:10" ht="15" customHeight="1" thickBot="1" x14ac:dyDescent="0.25">
      <c r="A26" s="1993"/>
      <c r="B26" s="1978"/>
      <c r="C26" s="340" t="str">
        <f>F!C24</f>
        <v>deciduous shrubs or trees &lt;1 m tall (e.g., deciduous seedlings).</v>
      </c>
      <c r="D26" s="81">
        <f>F!D24</f>
        <v>0</v>
      </c>
      <c r="E26" s="1300"/>
      <c r="F26" s="1301"/>
      <c r="G26" s="1566"/>
      <c r="H26" s="1990"/>
      <c r="I26" s="1988"/>
    </row>
    <row r="27" spans="1:10" ht="61.15" customHeight="1" thickBot="1" x14ac:dyDescent="0.25">
      <c r="A27" s="1991" t="str">
        <f>F!A69</f>
        <v>F12</v>
      </c>
      <c r="B27" s="1911" t="str">
        <f>F!B69</f>
        <v>Ground Irregularity</v>
      </c>
      <c r="C27" s="877" t="str">
        <f>F!C69</f>
        <v>Consider the parts of the AA that lack surface water at some time of the year.  The number of hummocks, small pits, raised mounds, upturned trees, animal burrows, gullies, natural levees, microdepressions, and other areas of peat or mineral soil that are raised or depressed &gt;10 cm compared to most of the area immediately surrounding them is:</v>
      </c>
      <c r="D27" s="736"/>
      <c r="E27" s="460"/>
      <c r="F27" s="1567"/>
      <c r="G27" s="1305">
        <f>MAX(F28:F30)/MAX(E28:E30)</f>
        <v>0</v>
      </c>
      <c r="H27" s="1989" t="s">
        <v>600</v>
      </c>
      <c r="I27" s="1986" t="s">
        <v>532</v>
      </c>
    </row>
    <row r="28" spans="1:10" ht="25.5" x14ac:dyDescent="0.2">
      <c r="A28" s="1991"/>
      <c r="B28" s="1911"/>
      <c r="C28" s="23" t="str">
        <f>F!C70</f>
        <v xml:space="preserve">Few or none (minimal microtopography; &lt;1% of the land has such features, or entire site is always water-covered). </v>
      </c>
      <c r="D28" s="91">
        <f>F!D70</f>
        <v>0</v>
      </c>
      <c r="E28" s="1568">
        <v>0</v>
      </c>
      <c r="F28" s="1569">
        <f>D28*E28</f>
        <v>0</v>
      </c>
      <c r="G28" s="1570"/>
      <c r="H28" s="1989"/>
      <c r="I28" s="1982"/>
    </row>
    <row r="29" spans="1:10" ht="15" customHeight="1" x14ac:dyDescent="0.2">
      <c r="A29" s="1991"/>
      <c r="B29" s="1911"/>
      <c r="C29" s="362" t="str">
        <f>F!C71</f>
        <v>Intermediate.</v>
      </c>
      <c r="D29" s="91">
        <f>F!D71</f>
        <v>0</v>
      </c>
      <c r="E29" s="1568">
        <v>1</v>
      </c>
      <c r="F29" s="1569">
        <f>D29*E29</f>
        <v>0</v>
      </c>
      <c r="G29" s="1571"/>
      <c r="H29" s="1989"/>
      <c r="I29" s="1982"/>
    </row>
    <row r="30" spans="1:10" ht="15" customHeight="1" thickBot="1" x14ac:dyDescent="0.25">
      <c r="A30" s="1991"/>
      <c r="B30" s="1911"/>
      <c r="C30" s="361" t="str">
        <f>F!C72</f>
        <v>Several (extensive micro-topography).</v>
      </c>
      <c r="D30" s="370">
        <f>F!D72</f>
        <v>0</v>
      </c>
      <c r="E30" s="1564">
        <v>2</v>
      </c>
      <c r="F30" s="335">
        <f>D30*E30</f>
        <v>0</v>
      </c>
      <c r="G30" s="1572"/>
      <c r="H30" s="1990"/>
      <c r="I30" s="1983"/>
    </row>
    <row r="31" spans="1:10" ht="42" customHeight="1" thickBot="1" x14ac:dyDescent="0.25">
      <c r="A31" s="1979" t="str">
        <f>F!A77</f>
        <v>F14</v>
      </c>
      <c r="B31" s="1984" t="str">
        <f>F!B77</f>
        <v>Soil Texture</v>
      </c>
      <c r="C31" s="471" t="str">
        <f>F!C77</f>
        <v>In parts of the AA that lack persistent water, the texture of soil in the uppermost layer is mostly:  [To determine this, use a trowel to check in at least 3 widely spaced locations, and use the soil texture key in Appendix A of the Manual].</v>
      </c>
      <c r="D31" s="1573"/>
      <c r="E31" s="1292"/>
      <c r="F31" s="1293"/>
      <c r="G31" s="1574">
        <f>MAX(F32:F36)/MAX(E32:E36)</f>
        <v>0</v>
      </c>
      <c r="H31" s="2000" t="s">
        <v>601</v>
      </c>
      <c r="I31" s="1981" t="s">
        <v>1953</v>
      </c>
    </row>
    <row r="32" spans="1:10" ht="15" customHeight="1" x14ac:dyDescent="0.2">
      <c r="A32" s="1980"/>
      <c r="B32" s="1985"/>
      <c r="C32" s="326" t="str">
        <f>F!C78</f>
        <v>Loamy: includes loam, sandy loam.</v>
      </c>
      <c r="D32" s="431">
        <f>F!D78</f>
        <v>0</v>
      </c>
      <c r="E32" s="1575">
        <v>1</v>
      </c>
      <c r="F32" s="1576">
        <f>D32*E32</f>
        <v>0</v>
      </c>
      <c r="G32" s="1570"/>
      <c r="H32" s="1989"/>
      <c r="I32" s="1982"/>
    </row>
    <row r="33" spans="1:9" ht="27" customHeight="1" x14ac:dyDescent="0.2">
      <c r="A33" s="1980"/>
      <c r="B33" s="1985"/>
      <c r="C33" s="326" t="str">
        <f>F!C79</f>
        <v>Fines: includes silt, glacial flour, clay, clay loam, silty clay, silty clay loam, sandy clay, sandy clay loam.</v>
      </c>
      <c r="D33" s="431">
        <f>F!D79</f>
        <v>0</v>
      </c>
      <c r="E33" s="1575">
        <v>0</v>
      </c>
      <c r="F33" s="1576">
        <f>D33*E33</f>
        <v>0</v>
      </c>
      <c r="G33" s="1571"/>
      <c r="H33" s="1989"/>
      <c r="I33" s="1982"/>
    </row>
    <row r="34" spans="1:9" ht="15" customHeight="1" x14ac:dyDescent="0.2">
      <c r="A34" s="1980"/>
      <c r="B34" s="1985"/>
      <c r="C34" s="326" t="str">
        <f>F!C80</f>
        <v>Peat, present to 40 cm depth or greater.</v>
      </c>
      <c r="D34" s="431">
        <f>F!D80</f>
        <v>0</v>
      </c>
      <c r="E34" s="1575">
        <v>4</v>
      </c>
      <c r="F34" s="1576">
        <f>D34*E34</f>
        <v>0</v>
      </c>
      <c r="G34" s="1571"/>
      <c r="H34" s="1989"/>
      <c r="I34" s="1982"/>
    </row>
    <row r="35" spans="1:9" ht="15" customHeight="1" x14ac:dyDescent="0.2">
      <c r="A35" s="1980"/>
      <c r="B35" s="1985"/>
      <c r="C35" s="326" t="str">
        <f>F!C81</f>
        <v>Peat, but becomes mineral before reaching 40 cm depth.</v>
      </c>
      <c r="D35" s="431">
        <f>F!D81</f>
        <v>0</v>
      </c>
      <c r="E35" s="1564">
        <v>3</v>
      </c>
      <c r="F35" s="335">
        <f>D35*E35</f>
        <v>0</v>
      </c>
      <c r="G35" s="1565"/>
      <c r="H35" s="1989"/>
      <c r="I35" s="1983"/>
    </row>
    <row r="36" spans="1:9" ht="27" customHeight="1" thickBot="1" x14ac:dyDescent="0.25">
      <c r="A36" s="1980"/>
      <c r="B36" s="1985"/>
      <c r="C36" s="326" t="str">
        <f>F!C83</f>
        <v>Coarse: includes sand, loamy sand, gravel, cobble, stones, boulders, fluvents, fluvaquents, riverwash.</v>
      </c>
      <c r="D36" s="431">
        <f>F!D83</f>
        <v>0</v>
      </c>
      <c r="E36" s="1564">
        <v>2</v>
      </c>
      <c r="F36" s="335">
        <f>D36*E36</f>
        <v>0</v>
      </c>
      <c r="G36" s="1565"/>
      <c r="H36" s="1989"/>
      <c r="I36" s="1983"/>
    </row>
    <row r="37" spans="1:9" ht="30" customHeight="1" thickBot="1" x14ac:dyDescent="0.25">
      <c r="A37" s="1992" t="str">
        <f>F!A142</f>
        <v>F27</v>
      </c>
      <c r="B37" s="1867" t="str">
        <f>F!B142</f>
        <v>% Flooded Only Seasonally</v>
      </c>
      <c r="C37" s="104" t="str">
        <f>F!C142</f>
        <v>The percentage of the AA that is covered by unfrozen surface water only during the wettest time of the year is:</v>
      </c>
      <c r="D37" s="1577"/>
      <c r="E37" s="1292"/>
      <c r="F37" s="1578"/>
      <c r="G37" s="1574">
        <f>IF((AllSat1&gt;0),"",MAX(F38:F42)/MAX(E38:E42))</f>
        <v>0</v>
      </c>
      <c r="H37" s="2000" t="s">
        <v>592</v>
      </c>
      <c r="I37" s="1981" t="s">
        <v>1037</v>
      </c>
    </row>
    <row r="38" spans="1:9" ht="15" customHeight="1" x14ac:dyDescent="0.2">
      <c r="A38" s="1991"/>
      <c r="B38" s="1911"/>
      <c r="C38" s="360" t="str">
        <f>F!C143</f>
        <v xml:space="preserve">None, or &lt;0.01 hectare and &lt;1% of the AA. </v>
      </c>
      <c r="D38" s="370">
        <f>F!D143</f>
        <v>0</v>
      </c>
      <c r="E38" s="1575">
        <v>0</v>
      </c>
      <c r="F38" s="335">
        <f>D38*E38</f>
        <v>0</v>
      </c>
      <c r="G38" s="1579"/>
      <c r="H38" s="1989"/>
      <c r="I38" s="1982"/>
    </row>
    <row r="39" spans="1:9" ht="15" customHeight="1" x14ac:dyDescent="0.2">
      <c r="A39" s="1991"/>
      <c r="B39" s="1911"/>
      <c r="C39" s="361" t="str">
        <f>F!C144</f>
        <v xml:space="preserve">1-25% </v>
      </c>
      <c r="D39" s="370">
        <f>F!D144</f>
        <v>0</v>
      </c>
      <c r="E39" s="1575">
        <v>1</v>
      </c>
      <c r="F39" s="335">
        <f>D39*E39</f>
        <v>0</v>
      </c>
      <c r="G39" s="1572"/>
      <c r="H39" s="1989"/>
      <c r="I39" s="1982"/>
    </row>
    <row r="40" spans="1:9" ht="15" customHeight="1" x14ac:dyDescent="0.2">
      <c r="A40" s="1991"/>
      <c r="B40" s="1911"/>
      <c r="C40" s="361" t="str">
        <f>F!C145</f>
        <v xml:space="preserve">25-50% </v>
      </c>
      <c r="D40" s="370">
        <f>F!D145</f>
        <v>0</v>
      </c>
      <c r="E40" s="1575">
        <v>2</v>
      </c>
      <c r="F40" s="335">
        <f>D40*E40</f>
        <v>0</v>
      </c>
      <c r="G40" s="1572"/>
      <c r="H40" s="1989"/>
      <c r="I40" s="1982"/>
    </row>
    <row r="41" spans="1:9" ht="15" customHeight="1" x14ac:dyDescent="0.2">
      <c r="A41" s="1991"/>
      <c r="B41" s="1911"/>
      <c r="C41" s="361" t="str">
        <f>F!C146</f>
        <v xml:space="preserve">50-95% </v>
      </c>
      <c r="D41" s="370">
        <f>F!D146</f>
        <v>0</v>
      </c>
      <c r="E41" s="1575">
        <v>3</v>
      </c>
      <c r="F41" s="335">
        <f>D41*E41</f>
        <v>0</v>
      </c>
      <c r="G41" s="1572"/>
      <c r="H41" s="1989"/>
      <c r="I41" s="1982"/>
    </row>
    <row r="42" spans="1:9" ht="15" customHeight="1" thickBot="1" x14ac:dyDescent="0.25">
      <c r="A42" s="1993"/>
      <c r="B42" s="1978"/>
      <c r="C42" s="82" t="str">
        <f>F!C147</f>
        <v xml:space="preserve">&gt;95% </v>
      </c>
      <c r="D42" s="94">
        <f>F!D147</f>
        <v>0</v>
      </c>
      <c r="E42" s="1300">
        <v>4</v>
      </c>
      <c r="F42" s="1301">
        <f>D42*E42</f>
        <v>0</v>
      </c>
      <c r="G42" s="1566"/>
      <c r="H42" s="1990"/>
      <c r="I42" s="1997"/>
    </row>
    <row r="43" spans="1:9" ht="30" customHeight="1" thickBot="1" x14ac:dyDescent="0.25">
      <c r="A43" s="1992" t="str">
        <f>F!A148</f>
        <v>F28</v>
      </c>
      <c r="B43" s="1867" t="str">
        <f>F!B148</f>
        <v>Annual Water Fluctuation Range</v>
      </c>
      <c r="C43" s="90" t="str">
        <f>F!C148</f>
        <v>The annual fluctuation in surface water level within most of the parts of the AA that contain surface water is:</v>
      </c>
      <c r="D43" s="1577"/>
      <c r="E43" s="1292"/>
      <c r="F43" s="1578"/>
      <c r="G43" s="1574">
        <f>IF((AllSat1&gt;0=1),"",MAX(F44:F48)/MAX(E44:E48))</f>
        <v>0</v>
      </c>
      <c r="H43" s="2000" t="s">
        <v>593</v>
      </c>
      <c r="I43" s="1981" t="s">
        <v>1132</v>
      </c>
    </row>
    <row r="44" spans="1:9" ht="15" customHeight="1" x14ac:dyDescent="0.2">
      <c r="A44" s="1991"/>
      <c r="B44" s="1911"/>
      <c r="C44" s="23" t="str">
        <f>F!C149</f>
        <v xml:space="preserve">&lt;10 cm change (stable or nearly so) </v>
      </c>
      <c r="D44" s="354">
        <f>F!D149</f>
        <v>0</v>
      </c>
      <c r="E44" s="1575">
        <v>1</v>
      </c>
      <c r="F44" s="335">
        <f>D44*E44</f>
        <v>0</v>
      </c>
      <c r="G44" s="1579"/>
      <c r="H44" s="1989"/>
      <c r="I44" s="1982"/>
    </row>
    <row r="45" spans="1:9" ht="15" customHeight="1" x14ac:dyDescent="0.2">
      <c r="A45" s="1991"/>
      <c r="B45" s="1911"/>
      <c r="C45" s="362" t="str">
        <f>F!C150</f>
        <v>10 cm - 50 cm change</v>
      </c>
      <c r="D45" s="354">
        <f>F!D150</f>
        <v>0</v>
      </c>
      <c r="E45" s="1575">
        <v>2</v>
      </c>
      <c r="F45" s="335">
        <f>D45*E45</f>
        <v>0</v>
      </c>
      <c r="G45" s="1572"/>
      <c r="H45" s="1989"/>
      <c r="I45" s="1982"/>
    </row>
    <row r="46" spans="1:9" ht="15" customHeight="1" x14ac:dyDescent="0.2">
      <c r="A46" s="1991"/>
      <c r="B46" s="1911"/>
      <c r="C46" s="362" t="str">
        <f>F!C151</f>
        <v>0.5 - 1 m change</v>
      </c>
      <c r="D46" s="354">
        <f>F!D151</f>
        <v>0</v>
      </c>
      <c r="E46" s="1296">
        <v>3</v>
      </c>
      <c r="F46" s="335">
        <f>D46*E46</f>
        <v>0</v>
      </c>
      <c r="G46" s="1565"/>
      <c r="H46" s="1989"/>
      <c r="I46" s="1982"/>
    </row>
    <row r="47" spans="1:9" ht="15" customHeight="1" x14ac:dyDescent="0.2">
      <c r="A47" s="1991"/>
      <c r="B47" s="1911"/>
      <c r="C47" s="362" t="str">
        <f>F!C152</f>
        <v>1-2 m change</v>
      </c>
      <c r="D47" s="354">
        <f>F!D152</f>
        <v>0</v>
      </c>
      <c r="E47" s="1575">
        <v>4</v>
      </c>
      <c r="F47" s="335">
        <f>D47*E47</f>
        <v>0</v>
      </c>
      <c r="G47" s="1572"/>
      <c r="H47" s="1989"/>
      <c r="I47" s="1982"/>
    </row>
    <row r="48" spans="1:9" ht="15" customHeight="1" thickBot="1" x14ac:dyDescent="0.25">
      <c r="A48" s="1993"/>
      <c r="B48" s="1978"/>
      <c r="C48" s="82" t="str">
        <f>F!C153</f>
        <v>&gt;2 m change</v>
      </c>
      <c r="D48" s="94">
        <f>F!D153</f>
        <v>0</v>
      </c>
      <c r="E48" s="1300">
        <v>5</v>
      </c>
      <c r="F48" s="1301">
        <f>D48*E48</f>
        <v>0</v>
      </c>
      <c r="G48" s="1566"/>
      <c r="H48" s="1990"/>
      <c r="I48" s="1997"/>
    </row>
    <row r="49" spans="1:9" ht="45" customHeight="1" thickBot="1" x14ac:dyDescent="0.25">
      <c r="A49" s="1984" t="str">
        <f>F!A165</f>
        <v>F31</v>
      </c>
      <c r="B49" s="1867" t="str">
        <f>F!B165</f>
        <v xml:space="preserve">% of Water Ponded vs. Flowing </v>
      </c>
      <c r="C49" s="90" t="str">
        <f>F!C165</f>
        <v>The percentage of the AA's surface water that is ponded (stagnant, or flows so slowly that fine sediment is not held in suspension) during most of the time it is present during the growing season, and which is either open or shaded by emergent vegetation, is:</v>
      </c>
      <c r="D49" s="372"/>
      <c r="E49" s="1292"/>
      <c r="F49" s="1580"/>
      <c r="G49" s="1574">
        <f>IF((AllSat1&gt;0=1),"",IF((SmallAA=1),"",MAX(F50:F55)/MAX(E50:E55)))</f>
        <v>0</v>
      </c>
      <c r="H49" s="2000" t="s">
        <v>594</v>
      </c>
      <c r="I49" s="1981" t="s">
        <v>1038</v>
      </c>
    </row>
    <row r="50" spans="1:9" ht="27" customHeight="1" x14ac:dyDescent="0.2">
      <c r="A50" s="1911"/>
      <c r="B50" s="1911"/>
      <c r="C50" s="23" t="str">
        <f>F!C166</f>
        <v>None, or &lt;0.01 hectare and &lt;1% of the AA. Nearly all water is flowing.  Enter "1" and SKIP to F43 (pH measurement).</v>
      </c>
      <c r="D50" s="354">
        <f>F!D166</f>
        <v>0</v>
      </c>
      <c r="E50" s="1575">
        <v>0</v>
      </c>
      <c r="F50" s="335">
        <f t="shared" ref="F50:F62" si="0">D50*E50</f>
        <v>0</v>
      </c>
      <c r="G50" s="1572"/>
      <c r="H50" s="1989"/>
      <c r="I50" s="1982"/>
    </row>
    <row r="51" spans="1:9" ht="15" customHeight="1" x14ac:dyDescent="0.2">
      <c r="A51" s="1911"/>
      <c r="B51" s="1911"/>
      <c r="C51" s="362" t="str">
        <f>F!C167</f>
        <v>1-5% of the water.  The rest is flowing.</v>
      </c>
      <c r="D51" s="354">
        <f>F!D167</f>
        <v>0</v>
      </c>
      <c r="E51" s="1575">
        <v>2</v>
      </c>
      <c r="F51" s="335">
        <f t="shared" si="0"/>
        <v>0</v>
      </c>
      <c r="G51" s="1572"/>
      <c r="H51" s="1989"/>
      <c r="I51" s="1982"/>
    </row>
    <row r="52" spans="1:9" ht="15" customHeight="1" x14ac:dyDescent="0.2">
      <c r="A52" s="1911"/>
      <c r="B52" s="1911"/>
      <c r="C52" s="362" t="str">
        <f>F!C168</f>
        <v>5-30% of the water.</v>
      </c>
      <c r="D52" s="354">
        <f>F!D168</f>
        <v>0</v>
      </c>
      <c r="E52" s="1575">
        <v>1</v>
      </c>
      <c r="F52" s="335">
        <f t="shared" si="0"/>
        <v>0</v>
      </c>
      <c r="G52" s="1572"/>
      <c r="H52" s="1989"/>
      <c r="I52" s="1982"/>
    </row>
    <row r="53" spans="1:9" ht="15" customHeight="1" x14ac:dyDescent="0.2">
      <c r="A53" s="1911"/>
      <c r="B53" s="1911"/>
      <c r="C53" s="362" t="str">
        <f>F!C169</f>
        <v>30-70% of the water.</v>
      </c>
      <c r="D53" s="354">
        <f>F!D169</f>
        <v>0</v>
      </c>
      <c r="E53" s="1575">
        <v>3</v>
      </c>
      <c r="F53" s="335">
        <f t="shared" si="0"/>
        <v>0</v>
      </c>
      <c r="G53" s="1572"/>
      <c r="H53" s="1989"/>
      <c r="I53" s="1982"/>
    </row>
    <row r="54" spans="1:9" ht="15" customHeight="1" x14ac:dyDescent="0.2">
      <c r="A54" s="1911"/>
      <c r="B54" s="1911"/>
      <c r="C54" s="362" t="str">
        <f>F!C170</f>
        <v>70-99% of the water.</v>
      </c>
      <c r="D54" s="354">
        <f>F!D170</f>
        <v>0</v>
      </c>
      <c r="E54" s="1575">
        <v>4</v>
      </c>
      <c r="F54" s="335">
        <f t="shared" si="0"/>
        <v>0</v>
      </c>
      <c r="G54" s="1572"/>
      <c r="H54" s="1989"/>
      <c r="I54" s="1982"/>
    </row>
    <row r="55" spans="1:9" ht="15" customHeight="1" thickBot="1" x14ac:dyDescent="0.25">
      <c r="A55" s="1911"/>
      <c r="B55" s="1911"/>
      <c r="C55" s="362" t="str">
        <f>F!C171</f>
        <v>&gt;99% of the water.  Little or no visibly flowing water within the AA.</v>
      </c>
      <c r="D55" s="354">
        <f>F!D171</f>
        <v>0</v>
      </c>
      <c r="E55" s="1575">
        <v>5</v>
      </c>
      <c r="F55" s="335">
        <f t="shared" si="0"/>
        <v>0</v>
      </c>
      <c r="G55" s="1572"/>
      <c r="H55" s="1989"/>
      <c r="I55" s="1982"/>
    </row>
    <row r="56" spans="1:9" ht="39" thickBot="1" x14ac:dyDescent="0.25">
      <c r="A56" s="1992" t="str">
        <f>F!A173</f>
        <v>F33</v>
      </c>
      <c r="B56" s="1867" t="str">
        <f>F!B173</f>
        <v xml:space="preserve">% of Ponded Water That Is Open </v>
      </c>
      <c r="C56" s="43" t="str">
        <f>F!C173</f>
        <v>In ducks-eye aerial view, the percentage of the ponded water that is open (lacking emergent vegetation during most of the growing season, and unhidden by a forest or shrub canopy) is:</v>
      </c>
      <c r="D56" s="1573"/>
      <c r="E56" s="1292"/>
      <c r="F56" s="1581"/>
      <c r="G56" s="1574">
        <f>IF((AllSat1&gt;0=1),"",IF((SmallAA=1),"",MAX(F57:F62)/MAX(E57:E62)))</f>
        <v>0</v>
      </c>
      <c r="H56" s="2000" t="s">
        <v>641</v>
      </c>
      <c r="I56" s="2013" t="s">
        <v>1342</v>
      </c>
    </row>
    <row r="57" spans="1:9" ht="27" customHeight="1" x14ac:dyDescent="0.2">
      <c r="A57" s="1991"/>
      <c r="B57" s="1911"/>
      <c r="C57" s="552" t="str">
        <f>F!C174</f>
        <v>None, or &lt;1% of the AA and largest pool occupies &lt;0.01 hectares.  Enter "1" and SKIP to F41 (Floating Algae &amp; Duckweed).</v>
      </c>
      <c r="D57" s="354">
        <f>F!D174</f>
        <v>0</v>
      </c>
      <c r="E57" s="1575">
        <v>0</v>
      </c>
      <c r="F57" s="1576">
        <f t="shared" si="0"/>
        <v>0</v>
      </c>
      <c r="G57" s="1571"/>
      <c r="H57" s="1989"/>
      <c r="I57" s="2014"/>
    </row>
    <row r="58" spans="1:9" ht="15" customHeight="1" x14ac:dyDescent="0.2">
      <c r="A58" s="1991"/>
      <c r="B58" s="1911"/>
      <c r="C58" s="576" t="str">
        <f>F!C175</f>
        <v>1-5% of the ponded water.  Enter "1" and SKIP to F41.</v>
      </c>
      <c r="D58" s="354">
        <f>F!D175</f>
        <v>0</v>
      </c>
      <c r="E58" s="1575">
        <v>1</v>
      </c>
      <c r="F58" s="1576">
        <f t="shared" si="0"/>
        <v>0</v>
      </c>
      <c r="G58" s="1571"/>
      <c r="H58" s="1989"/>
      <c r="I58" s="2014"/>
    </row>
    <row r="59" spans="1:9" ht="15" customHeight="1" x14ac:dyDescent="0.2">
      <c r="A59" s="1991"/>
      <c r="B59" s="1911"/>
      <c r="C59" s="576" t="str">
        <f>F!C176</f>
        <v>5-30% of the ponded water.</v>
      </c>
      <c r="D59" s="354">
        <f>F!D176</f>
        <v>0</v>
      </c>
      <c r="E59" s="1575">
        <v>2</v>
      </c>
      <c r="F59" s="1576">
        <f t="shared" si="0"/>
        <v>0</v>
      </c>
      <c r="G59" s="1571"/>
      <c r="H59" s="1989"/>
      <c r="I59" s="2014"/>
    </row>
    <row r="60" spans="1:9" ht="15" customHeight="1" x14ac:dyDescent="0.2">
      <c r="A60" s="1991"/>
      <c r="B60" s="1911"/>
      <c r="C60" s="576" t="str">
        <f>F!C177</f>
        <v>30-70% of the ponded water.</v>
      </c>
      <c r="D60" s="354">
        <f>F!D177</f>
        <v>0</v>
      </c>
      <c r="E60" s="1575">
        <v>3</v>
      </c>
      <c r="F60" s="1576">
        <f t="shared" si="0"/>
        <v>0</v>
      </c>
      <c r="G60" s="1571"/>
      <c r="H60" s="1989"/>
      <c r="I60" s="2014"/>
    </row>
    <row r="61" spans="1:9" ht="15" customHeight="1" x14ac:dyDescent="0.2">
      <c r="A61" s="1991"/>
      <c r="B61" s="1911"/>
      <c r="C61" s="576" t="str">
        <f>F!C178</f>
        <v>70-99% of the ponded water.</v>
      </c>
      <c r="D61" s="354">
        <f>F!D178</f>
        <v>0</v>
      </c>
      <c r="E61" s="1575">
        <v>4</v>
      </c>
      <c r="F61" s="1576">
        <f t="shared" si="0"/>
        <v>0</v>
      </c>
      <c r="G61" s="1571"/>
      <c r="H61" s="1989"/>
      <c r="I61" s="2014"/>
    </row>
    <row r="62" spans="1:9" ht="15" customHeight="1" thickBot="1" x14ac:dyDescent="0.25">
      <c r="A62" s="1993"/>
      <c r="B62" s="1978"/>
      <c r="C62" s="445" t="str">
        <f>F!C179</f>
        <v xml:space="preserve">100% of the ponded water. </v>
      </c>
      <c r="D62" s="94">
        <f>F!D179</f>
        <v>0</v>
      </c>
      <c r="E62" s="1300">
        <v>5</v>
      </c>
      <c r="F62" s="1301">
        <f t="shared" si="0"/>
        <v>0</v>
      </c>
      <c r="G62" s="1566"/>
      <c r="H62" s="1990"/>
      <c r="I62" s="2015"/>
    </row>
    <row r="63" spans="1:9" ht="39" thickBot="1" x14ac:dyDescent="0.25">
      <c r="A63" s="1992" t="str">
        <f>F!A180</f>
        <v>F34</v>
      </c>
      <c r="B63" s="1867" t="str">
        <f>F!B180</f>
        <v>Predominant Width of Vegetated Zone within Wetland</v>
      </c>
      <c r="C63" s="77" t="str">
        <f>F!C180</f>
        <v>At the time during the growing season when the AA's water level is lowest, the average width of vegetated area in the AA that separates adjoining uplands from open water within the AA is:</v>
      </c>
      <c r="D63" s="1342"/>
      <c r="E63" s="1582"/>
      <c r="F63" s="1580"/>
      <c r="G63" s="1574">
        <f>IF((AllSat1&gt;0=1),"",IF((SmallAA=1),"",MAX(F64:F69)/MAX(E64:E69)))</f>
        <v>0</v>
      </c>
      <c r="H63" s="2000" t="s">
        <v>831</v>
      </c>
      <c r="I63" s="2013" t="s">
        <v>1083</v>
      </c>
    </row>
    <row r="64" spans="1:9" ht="15" customHeight="1" x14ac:dyDescent="0.2">
      <c r="A64" s="1991"/>
      <c r="B64" s="1911"/>
      <c r="C64" s="327" t="str">
        <f>F!C181</f>
        <v>&lt;1 m</v>
      </c>
      <c r="D64" s="359">
        <f>F!D181</f>
        <v>0</v>
      </c>
      <c r="E64" s="1575">
        <v>0</v>
      </c>
      <c r="F64" s="335">
        <f t="shared" ref="F64:F69" si="1">D64*E64</f>
        <v>0</v>
      </c>
      <c r="G64" s="1571"/>
      <c r="H64" s="1989"/>
      <c r="I64" s="2014"/>
    </row>
    <row r="65" spans="1:9" ht="15" customHeight="1" x14ac:dyDescent="0.2">
      <c r="A65" s="1991"/>
      <c r="B65" s="1911"/>
      <c r="C65" s="342" t="str">
        <f>F!C182</f>
        <v>1 - 9 m</v>
      </c>
      <c r="D65" s="359">
        <f>F!D182</f>
        <v>0</v>
      </c>
      <c r="E65" s="1575">
        <v>1</v>
      </c>
      <c r="F65" s="335">
        <f t="shared" si="1"/>
        <v>0</v>
      </c>
      <c r="G65" s="1571"/>
      <c r="H65" s="1989"/>
      <c r="I65" s="2014"/>
    </row>
    <row r="66" spans="1:9" ht="15" customHeight="1" x14ac:dyDescent="0.2">
      <c r="A66" s="1991"/>
      <c r="B66" s="1911"/>
      <c r="C66" s="342" t="str">
        <f>F!C183</f>
        <v>10 - 29 m</v>
      </c>
      <c r="D66" s="359">
        <f>F!D183</f>
        <v>0</v>
      </c>
      <c r="E66" s="1575">
        <v>2</v>
      </c>
      <c r="F66" s="335">
        <f t="shared" si="1"/>
        <v>0</v>
      </c>
      <c r="G66" s="1571"/>
      <c r="H66" s="1989"/>
      <c r="I66" s="2014"/>
    </row>
    <row r="67" spans="1:9" ht="15" customHeight="1" x14ac:dyDescent="0.2">
      <c r="A67" s="1991"/>
      <c r="B67" s="1911"/>
      <c r="C67" s="342" t="str">
        <f>F!C184</f>
        <v>30 - 49 m</v>
      </c>
      <c r="D67" s="359">
        <f>F!D184</f>
        <v>0</v>
      </c>
      <c r="E67" s="1575">
        <v>3</v>
      </c>
      <c r="F67" s="335">
        <f t="shared" si="1"/>
        <v>0</v>
      </c>
      <c r="G67" s="1571"/>
      <c r="H67" s="1989"/>
      <c r="I67" s="2014"/>
    </row>
    <row r="68" spans="1:9" ht="15" customHeight="1" x14ac:dyDescent="0.2">
      <c r="A68" s="1991"/>
      <c r="B68" s="1911"/>
      <c r="C68" s="342" t="str">
        <f>F!C185</f>
        <v>50 - 100 m</v>
      </c>
      <c r="D68" s="359">
        <f>F!D185</f>
        <v>0</v>
      </c>
      <c r="E68" s="1575">
        <v>4</v>
      </c>
      <c r="F68" s="335">
        <f t="shared" si="1"/>
        <v>0</v>
      </c>
      <c r="G68" s="1571"/>
      <c r="H68" s="1989"/>
      <c r="I68" s="2014"/>
    </row>
    <row r="69" spans="1:9" ht="15" customHeight="1" thickBot="1" x14ac:dyDescent="0.25">
      <c r="A69" s="1993"/>
      <c r="B69" s="1978"/>
      <c r="C69" s="340" t="str">
        <f>F!C186</f>
        <v>&gt; 100 m</v>
      </c>
      <c r="D69" s="81">
        <f>F!D186</f>
        <v>0</v>
      </c>
      <c r="E69" s="1300">
        <v>5</v>
      </c>
      <c r="F69" s="1301">
        <f t="shared" si="1"/>
        <v>0</v>
      </c>
      <c r="G69" s="1566"/>
      <c r="H69" s="1990"/>
      <c r="I69" s="2015"/>
    </row>
    <row r="70" spans="1:9" ht="29.25" customHeight="1" thickBot="1" x14ac:dyDescent="0.25">
      <c r="A70" s="1992" t="str">
        <f>F!A227</f>
        <v>F47</v>
      </c>
      <c r="B70" s="1867" t="str">
        <f>F!B227</f>
        <v>Through Flow Pattern</v>
      </c>
      <c r="C70" s="1583" t="str">
        <f>F!C227</f>
        <v>During its travel through the AA at the time of peak annual flow, water arriving in channels: [select only the ONE encountered by most of the incoming water].</v>
      </c>
      <c r="D70" s="1577"/>
      <c r="E70" s="1292"/>
      <c r="F70" s="1293"/>
      <c r="G70" s="1574" t="str">
        <f>IF((AllSat1&gt;0),"", IF((Inflows=0),"",MAX(F71:F75)/MAX(E71:E75)))</f>
        <v/>
      </c>
      <c r="H70" s="2000" t="s">
        <v>595</v>
      </c>
      <c r="I70" s="1981" t="s">
        <v>1039</v>
      </c>
    </row>
    <row r="71" spans="1:9" ht="42" customHeight="1" x14ac:dyDescent="0.2">
      <c r="A71" s="1991"/>
      <c r="B71" s="1911"/>
      <c r="C71" s="341" t="str">
        <f>F!C228</f>
        <v>Does not bump into plant stems as it travels through the AA.  Nearly all the water continues to travel in unvegetated (often incised) channels that have minimal contact with wetland vegetation, or through a zone of open water such as an instream pond or lake.</v>
      </c>
      <c r="D71" s="468">
        <f>F!D228</f>
        <v>0</v>
      </c>
      <c r="E71" s="1575">
        <v>0</v>
      </c>
      <c r="F71" s="1576">
        <f>D71*E71</f>
        <v>0</v>
      </c>
      <c r="G71" s="1570"/>
      <c r="H71" s="1989"/>
      <c r="I71" s="1982"/>
    </row>
    <row r="72" spans="1:9" ht="19.5" customHeight="1" x14ac:dyDescent="0.2">
      <c r="A72" s="1991"/>
      <c r="B72" s="1911"/>
      <c r="C72" s="328" t="str">
        <f>F!C229</f>
        <v>bumps into herbaceous vegetation but mostly remains in fairly straight channels.</v>
      </c>
      <c r="D72" s="468">
        <f>F!D229</f>
        <v>0</v>
      </c>
      <c r="E72" s="1575">
        <v>3</v>
      </c>
      <c r="F72" s="1576">
        <f>D72*E72</f>
        <v>0</v>
      </c>
      <c r="G72" s="1571"/>
      <c r="H72" s="1989"/>
      <c r="I72" s="1982"/>
    </row>
    <row r="73" spans="1:9" ht="27" customHeight="1" x14ac:dyDescent="0.2">
      <c r="A73" s="1991"/>
      <c r="B73" s="1911"/>
      <c r="C73" s="328" t="str">
        <f>F!C230</f>
        <v>bumps into herbaceous vegetation and mostly spreads throughout, or is in widely  meandering, multi-branched, or braided channels.</v>
      </c>
      <c r="D73" s="468">
        <f>F!D230</f>
        <v>0</v>
      </c>
      <c r="E73" s="1575">
        <v>4</v>
      </c>
      <c r="F73" s="1576">
        <f>D73*E73</f>
        <v>0</v>
      </c>
      <c r="G73" s="1571"/>
      <c r="H73" s="1989"/>
      <c r="I73" s="1982"/>
    </row>
    <row r="74" spans="1:9" ht="15" customHeight="1" x14ac:dyDescent="0.2">
      <c r="A74" s="1991"/>
      <c r="B74" s="1911"/>
      <c r="C74" s="328" t="str">
        <f>F!C231</f>
        <v>bumps into tree trunks and/or shrub stems but mostly remains in fairly straight channels.</v>
      </c>
      <c r="D74" s="468">
        <f>F!D231</f>
        <v>0</v>
      </c>
      <c r="E74" s="1575">
        <v>6</v>
      </c>
      <c r="F74" s="1576">
        <f>D74*E74</f>
        <v>0</v>
      </c>
      <c r="G74" s="1571"/>
      <c r="H74" s="1989"/>
      <c r="I74" s="1982"/>
    </row>
    <row r="75" spans="1:9" ht="27" customHeight="1" thickBot="1" x14ac:dyDescent="0.25">
      <c r="A75" s="1993"/>
      <c r="B75" s="1978"/>
      <c r="C75" s="1027" t="str">
        <f>F!C232</f>
        <v>bumps into tree trunks and/or shrub stems and follows a fairly indirect path from entrance to exit (meandering, multi-branched, or braided).</v>
      </c>
      <c r="D75" s="81">
        <f>F!D232</f>
        <v>0</v>
      </c>
      <c r="E75" s="1300">
        <v>8</v>
      </c>
      <c r="F75" s="1301">
        <f>D75*E75</f>
        <v>0</v>
      </c>
      <c r="G75" s="1566"/>
      <c r="H75" s="1990"/>
      <c r="I75" s="1997"/>
    </row>
    <row r="76" spans="1:9" ht="77.25" thickBot="1" x14ac:dyDescent="0.25">
      <c r="A76" s="1992" t="str">
        <f>F!A233</f>
        <v>F48</v>
      </c>
      <c r="B76" s="1867" t="str">
        <f>F!B233</f>
        <v>Channel Connection &amp; Outflow Duration</v>
      </c>
      <c r="C76" s="104" t="str">
        <f>F!C233</f>
        <v>The most persistent surface water connection (outlet channel or pipe, ditch, or overbank water exchange) between the AA and the closest larger water body located downslope is: [Note: If the AA represents only part of a wetland, answer this according to whichever is the least permanent surface connection: the one between the AA and the rest of the wetland, or the surface connection between the wetland and a mapped stream or lake located within 200 m downslope from the wetland ]</v>
      </c>
      <c r="D76" s="1577"/>
      <c r="E76" s="1292"/>
      <c r="F76" s="1578"/>
      <c r="G76" s="1574">
        <f>IF((AllSat1&gt;0),"", MAX(F77:F81)/MAX(E77:E81))</f>
        <v>0</v>
      </c>
      <c r="H76" s="2000" t="s">
        <v>596</v>
      </c>
      <c r="I76" s="1981" t="s">
        <v>1040</v>
      </c>
    </row>
    <row r="77" spans="1:9" ht="15" customHeight="1" x14ac:dyDescent="0.2">
      <c r="A77" s="1991"/>
      <c r="B77" s="1911"/>
      <c r="C77" s="341" t="str">
        <f>F!C234</f>
        <v>persistent (&gt;9 months/year, including times when frozen).</v>
      </c>
      <c r="D77" s="359">
        <f>F!D234</f>
        <v>0</v>
      </c>
      <c r="E77" s="1575">
        <v>1</v>
      </c>
      <c r="F77" s="335">
        <f>D77*E77</f>
        <v>0</v>
      </c>
      <c r="G77" s="1579"/>
      <c r="H77" s="1989"/>
      <c r="I77" s="1982"/>
    </row>
    <row r="78" spans="1:9" ht="25.5" x14ac:dyDescent="0.2">
      <c r="A78" s="1991"/>
      <c r="B78" s="1911"/>
      <c r="C78" s="328" t="str">
        <f>F!C235</f>
        <v>seasonal (14 days to 9 months/year, not necessarily consecutive, including times when frozen).</v>
      </c>
      <c r="D78" s="359">
        <f>F!D235</f>
        <v>0</v>
      </c>
      <c r="E78" s="1575">
        <v>2</v>
      </c>
      <c r="F78" s="335">
        <f>D78*E78</f>
        <v>0</v>
      </c>
      <c r="G78" s="1572"/>
      <c r="H78" s="1989"/>
      <c r="I78" s="1982"/>
    </row>
    <row r="79" spans="1:9" ht="15.75" customHeight="1" x14ac:dyDescent="0.2">
      <c r="A79" s="1991"/>
      <c r="B79" s="1911"/>
      <c r="C79" s="328" t="str">
        <f>F!C236</f>
        <v>temporary (&lt;14 days, not necessarily consecutive, but must be unfrozen).</v>
      </c>
      <c r="D79" s="356">
        <f>F!D236</f>
        <v>0</v>
      </c>
      <c r="E79" s="1575">
        <v>3</v>
      </c>
      <c r="F79" s="335">
        <f>D79*E79</f>
        <v>0</v>
      </c>
      <c r="G79" s="1572"/>
      <c r="H79" s="2016"/>
      <c r="I79" s="1982"/>
    </row>
    <row r="80" spans="1:9" ht="38.25" x14ac:dyDescent="0.2">
      <c r="A80" s="1991"/>
      <c r="B80" s="1911"/>
      <c r="C80" s="1584" t="str">
        <f>F!C237</f>
        <v xml:space="preserve">none -- but maps show a stream or other water body that is downslope from the AA and within a distance that is less than the AA's length.  If so, mark "1" here and SKIP TO F50 (Groundwater). </v>
      </c>
      <c r="D80" s="356">
        <f>F!D237</f>
        <v>0</v>
      </c>
      <c r="E80" s="1585">
        <v>9</v>
      </c>
      <c r="F80" s="335">
        <f>D80*E80</f>
        <v>0</v>
      </c>
      <c r="G80" s="1572"/>
      <c r="H80" s="1439" t="s">
        <v>789</v>
      </c>
      <c r="I80" s="1982"/>
    </row>
    <row r="81" spans="1:9" ht="42" customHeight="1" thickBot="1" x14ac:dyDescent="0.25">
      <c r="A81" s="1993"/>
      <c r="B81" s="1978"/>
      <c r="C81" s="1586" t="str">
        <f>F!C238</f>
        <v xml:space="preserve">no surface water flows out of the wetland except possibly during extreme events (&lt;once per 10 years). Or, water flows only into a wetland, ditch, or lake that lacks an outlet.  If so, mark "1" here and SKIP TO F50 (Groundwater). </v>
      </c>
      <c r="D81" s="1481">
        <f>F!D238</f>
        <v>0</v>
      </c>
      <c r="E81" s="1300">
        <v>10</v>
      </c>
      <c r="F81" s="1301">
        <f>D81*E81</f>
        <v>0</v>
      </c>
      <c r="G81" s="1566"/>
      <c r="H81" s="572" t="s">
        <v>788</v>
      </c>
      <c r="I81" s="1997"/>
    </row>
    <row r="82" spans="1:9" ht="30" customHeight="1" thickBot="1" x14ac:dyDescent="0.25">
      <c r="A82" s="1992" t="str">
        <f>F!A239</f>
        <v>F49</v>
      </c>
      <c r="B82" s="1867" t="str">
        <f>F!B239</f>
        <v>Outflow Confinement</v>
      </c>
      <c r="C82" s="104" t="str">
        <f>F!C239</f>
        <v>During major runoff events, in the places where surface water exits the AA or connected waters nearby, it:</v>
      </c>
      <c r="D82" s="1577"/>
      <c r="E82" s="1292"/>
      <c r="F82" s="1293"/>
      <c r="G82" s="1574">
        <f>IF((OutNone + OutNone1&gt;0),"",MAX(F83:F85)/MAX(E83:E85))</f>
        <v>0</v>
      </c>
      <c r="H82" s="2000" t="s">
        <v>597</v>
      </c>
      <c r="I82" s="1981" t="s">
        <v>1134</v>
      </c>
    </row>
    <row r="83" spans="1:9" ht="42" customHeight="1" x14ac:dyDescent="0.2">
      <c r="A83" s="1991"/>
      <c r="B83" s="1911"/>
      <c r="C83" s="1392" t="str">
        <f>F!C240</f>
        <v>mostly passes through a pipe, culvert, narrowly breached dike, berm, beaver dam, or other partial obstruction (other than natural topography) that does not appear to drain the wetland artificially during most of the growing season.</v>
      </c>
      <c r="D83" s="442">
        <f>F!D240</f>
        <v>0</v>
      </c>
      <c r="E83" s="1575">
        <v>2</v>
      </c>
      <c r="F83" s="1576">
        <f>D83*E83</f>
        <v>0</v>
      </c>
      <c r="G83" s="1570"/>
      <c r="H83" s="1989"/>
      <c r="I83" s="1982"/>
    </row>
    <row r="84" spans="1:9" ht="27" customHeight="1" x14ac:dyDescent="0.2">
      <c r="A84" s="1991"/>
      <c r="B84" s="1911"/>
      <c r="C84" s="366" t="str">
        <f>F!C241</f>
        <v>leaves through natural exits (channels or diffuse outflow), not mainly through artificial or temporary features.</v>
      </c>
      <c r="D84" s="356">
        <f>F!D241</f>
        <v>0</v>
      </c>
      <c r="E84" s="1575">
        <v>1</v>
      </c>
      <c r="F84" s="1576">
        <f>D84*E84</f>
        <v>0</v>
      </c>
      <c r="G84" s="1579"/>
      <c r="H84" s="1989"/>
      <c r="I84" s="1982"/>
    </row>
    <row r="85" spans="1:9" ht="39" thickBot="1" x14ac:dyDescent="0.25">
      <c r="A85" s="1993"/>
      <c r="B85" s="1978"/>
      <c r="C85" s="329" t="str">
        <f>F!C242</f>
        <v>is exported more quickly than usual due to ditches or pipes within the AA (or connected to its outlet or within 10 m of the AA's edge) which drain the wetland artificially, or water is pumped out of the AA.</v>
      </c>
      <c r="D85" s="81">
        <f>F!D242</f>
        <v>0</v>
      </c>
      <c r="E85" s="1300">
        <v>0</v>
      </c>
      <c r="F85" s="1301">
        <f>D85*E85</f>
        <v>0</v>
      </c>
      <c r="G85" s="1566"/>
      <c r="H85" s="1990"/>
      <c r="I85" s="1997"/>
    </row>
    <row r="86" spans="1:9" ht="21" customHeight="1" thickBot="1" x14ac:dyDescent="0.25">
      <c r="A86" s="1979" t="str">
        <f>F!A243</f>
        <v>F50</v>
      </c>
      <c r="B86" s="1984" t="str">
        <f>F!B243</f>
        <v>Groundwater: Strength of Evidence</v>
      </c>
      <c r="C86" s="471" t="str">
        <f>F!C243</f>
        <v xml:space="preserve">Select first applicable choice. </v>
      </c>
      <c r="D86" s="1573"/>
      <c r="E86" s="1292"/>
      <c r="F86" s="1580"/>
      <c r="G86" s="1574">
        <f>IF((D89=1),"",MAX(F87:F89)/MAX(E87:E89))</f>
        <v>0</v>
      </c>
      <c r="H86" s="2000" t="s">
        <v>598</v>
      </c>
      <c r="I86" s="2018" t="s">
        <v>1138</v>
      </c>
    </row>
    <row r="87" spans="1:9" ht="57" customHeight="1" x14ac:dyDescent="0.2">
      <c r="A87" s="1980"/>
      <c r="B87" s="1985"/>
      <c r="C87" s="326" t="str">
        <f>F!C244</f>
        <v xml:space="preserve">Springs are known to be present within the AA, or if groundwater levels have been monitored, that has demonstrated that groundwater primarily discharges to the wetland for longer periods during the year than periods when the wetland recharges the groundwater. 
</v>
      </c>
      <c r="D87" s="431">
        <f>F!D244</f>
        <v>0</v>
      </c>
      <c r="E87" s="1575">
        <v>0</v>
      </c>
      <c r="F87" s="1576">
        <f>D87*E87</f>
        <v>0</v>
      </c>
      <c r="G87" s="1570"/>
      <c r="H87" s="1989"/>
      <c r="I87" s="2019"/>
    </row>
    <row r="88" spans="1:9" ht="84.6" customHeight="1" x14ac:dyDescent="0.2">
      <c r="A88" s="1980"/>
      <c r="B88" s="1985"/>
      <c r="C88" s="314" t="str">
        <f>F!C245</f>
        <v xml:space="preserve">If surface water is present, its pH (Q44) is &gt;5.5 AND one or more of the following are true: (a) the AA is located very close to the base of (but mostly not ON) a natural slope much steeper (usually &gt;15%) than that within the AA and longer than 100 m, OR
(b) rust deposits ("iron floc"), colored precipitates, or dispersible natural oil sheen are prevalent in the AA, OR
(c) AA is located at a geologic fault.
</v>
      </c>
      <c r="D88" s="431">
        <f>F!D245</f>
        <v>0</v>
      </c>
      <c r="E88" s="1575">
        <v>1</v>
      </c>
      <c r="F88" s="1576">
        <f>D88*E88</f>
        <v>0</v>
      </c>
      <c r="G88" s="1571"/>
      <c r="H88" s="1989"/>
      <c r="I88" s="2019"/>
    </row>
    <row r="89" spans="1:9" ht="27" customHeight="1" thickBot="1" x14ac:dyDescent="0.25">
      <c r="A89" s="2021"/>
      <c r="B89" s="2005"/>
      <c r="C89" s="315" t="str">
        <f>F!C246</f>
        <v>Neither of above is true, although some groundwater may discharge to or flow through the AA.  Or groundwater influx is unknown.</v>
      </c>
      <c r="D89" s="102">
        <f>F!D246</f>
        <v>0</v>
      </c>
      <c r="E89" s="1300">
        <v>2</v>
      </c>
      <c r="F89" s="1301">
        <f>D89*E89</f>
        <v>0</v>
      </c>
      <c r="G89" s="1566"/>
      <c r="H89" s="1990"/>
      <c r="I89" s="2020"/>
    </row>
    <row r="90" spans="1:9" ht="21" customHeight="1" thickBot="1" x14ac:dyDescent="0.25">
      <c r="A90" s="1992" t="str">
        <f>F!A247</f>
        <v>F51</v>
      </c>
      <c r="B90" s="1867" t="str">
        <f>F!B247</f>
        <v>Internal Gradient</v>
      </c>
      <c r="C90" s="104" t="str">
        <f>F!C247</f>
        <v>The gradient along most of the flow path within the AA is:</v>
      </c>
      <c r="D90" s="1577"/>
      <c r="E90" s="1292"/>
      <c r="F90" s="1293"/>
      <c r="G90" s="1574">
        <f>MAX(F91:F94)/MAX(E91:E94)</f>
        <v>0</v>
      </c>
      <c r="H90" s="2000" t="s">
        <v>599</v>
      </c>
      <c r="I90" s="1981" t="s">
        <v>20</v>
      </c>
    </row>
    <row r="91" spans="1:9" ht="27" customHeight="1" x14ac:dyDescent="0.2">
      <c r="A91" s="1991"/>
      <c r="B91" s="1911"/>
      <c r="C91" s="341" t="str">
        <f>F!C248</f>
        <v>&lt;2%, or, no slope is ever apparent (i.e., flat). Or, the wetland is in a depression or pond with no inlet and no outlet.</v>
      </c>
      <c r="D91" s="443">
        <f>F!D248</f>
        <v>0</v>
      </c>
      <c r="E91" s="1575">
        <v>4</v>
      </c>
      <c r="F91" s="1576">
        <f>D91*E91</f>
        <v>0</v>
      </c>
      <c r="G91" s="1570"/>
      <c r="H91" s="1989"/>
      <c r="I91" s="1982"/>
    </row>
    <row r="92" spans="1:9" ht="15" customHeight="1" x14ac:dyDescent="0.2">
      <c r="A92" s="1991"/>
      <c r="B92" s="1911"/>
      <c r="C92" s="328" t="str">
        <f>F!C249</f>
        <v>2-5%</v>
      </c>
      <c r="D92" s="359">
        <f>F!D249</f>
        <v>0</v>
      </c>
      <c r="E92" s="1575">
        <v>3</v>
      </c>
      <c r="F92" s="1576">
        <f>D92*E92</f>
        <v>0</v>
      </c>
      <c r="G92" s="1571"/>
      <c r="H92" s="1989"/>
      <c r="I92" s="1982"/>
    </row>
    <row r="93" spans="1:9" ht="15" customHeight="1" x14ac:dyDescent="0.2">
      <c r="A93" s="1991"/>
      <c r="B93" s="1911"/>
      <c r="C93" s="328" t="str">
        <f>F!C250</f>
        <v>6-10%</v>
      </c>
      <c r="D93" s="359">
        <f>F!D250</f>
        <v>0</v>
      </c>
      <c r="E93" s="1575">
        <v>2</v>
      </c>
      <c r="F93" s="1576">
        <f>D93*E93</f>
        <v>0</v>
      </c>
      <c r="G93" s="1571"/>
      <c r="H93" s="1989"/>
      <c r="I93" s="1982"/>
    </row>
    <row r="94" spans="1:9" ht="15" customHeight="1" thickBot="1" x14ac:dyDescent="0.25">
      <c r="A94" s="1993"/>
      <c r="B94" s="1978"/>
      <c r="C94" s="329" t="str">
        <f>F!C251</f>
        <v>&gt;10%</v>
      </c>
      <c r="D94" s="81">
        <f>F!D251</f>
        <v>0</v>
      </c>
      <c r="E94" s="1300">
        <v>0</v>
      </c>
      <c r="F94" s="1301">
        <f>D94*E94</f>
        <v>0</v>
      </c>
      <c r="G94" s="1566"/>
      <c r="H94" s="1990"/>
      <c r="I94" s="2017"/>
    </row>
    <row r="95" spans="1:9" ht="14.45" customHeight="1" thickBot="1" x14ac:dyDescent="0.25">
      <c r="A95" s="1979" t="str">
        <f>F!A269</f>
        <v>F56</v>
      </c>
      <c r="B95" s="1984" t="str">
        <f>F!B269</f>
        <v>Burn History</v>
      </c>
      <c r="C95" s="452" t="str">
        <f>F!C269</f>
        <v>More than 1% of the AA's previously vegetated area:</v>
      </c>
      <c r="D95" s="1587"/>
      <c r="E95" s="1292"/>
      <c r="F95" s="1581"/>
      <c r="G95" s="1574" t="str">
        <f>IF((D99=1),"", IF((peat1+peat2&gt;0),MAX(F96:F99)/MAX(E96:E99),""))</f>
        <v/>
      </c>
      <c r="H95" s="2006" t="s">
        <v>1718</v>
      </c>
      <c r="I95" s="2008" t="s">
        <v>1952</v>
      </c>
    </row>
    <row r="96" spans="1:9" x14ac:dyDescent="0.2">
      <c r="A96" s="1980"/>
      <c r="B96" s="1985"/>
      <c r="C96" s="924" t="str">
        <f>F!C270</f>
        <v>burned within past 5 years.</v>
      </c>
      <c r="D96" s="763">
        <f>F!D270</f>
        <v>0</v>
      </c>
      <c r="E96" s="1296">
        <v>0</v>
      </c>
      <c r="F96" s="335">
        <f>D96*E96</f>
        <v>0</v>
      </c>
      <c r="G96" s="1298"/>
      <c r="H96" s="2007"/>
      <c r="I96" s="2009"/>
    </row>
    <row r="97" spans="1:9" x14ac:dyDescent="0.2">
      <c r="A97" s="1980"/>
      <c r="B97" s="1985"/>
      <c r="C97" s="925" t="str">
        <f>F!C271</f>
        <v>burned 6-10 years ago.</v>
      </c>
      <c r="D97" s="763">
        <f>F!D271</f>
        <v>0</v>
      </c>
      <c r="E97" s="1296">
        <v>1</v>
      </c>
      <c r="F97" s="335">
        <f>D97*E97</f>
        <v>0</v>
      </c>
      <c r="G97" s="1298"/>
      <c r="H97" s="2007"/>
      <c r="I97" s="2009"/>
    </row>
    <row r="98" spans="1:9" x14ac:dyDescent="0.2">
      <c r="A98" s="1980"/>
      <c r="B98" s="1985"/>
      <c r="C98" s="925" t="str">
        <f>F!C272</f>
        <v>burned 11-30 years ago.</v>
      </c>
      <c r="D98" s="763">
        <f>F!D272</f>
        <v>0</v>
      </c>
      <c r="E98" s="1296">
        <v>2</v>
      </c>
      <c r="F98" s="335">
        <f>D98*E98</f>
        <v>0</v>
      </c>
      <c r="G98" s="1298"/>
      <c r="H98" s="2007"/>
      <c r="I98" s="2009"/>
    </row>
    <row r="99" spans="1:9" ht="13.5" thickBot="1" x14ac:dyDescent="0.25">
      <c r="A99" s="1980"/>
      <c r="B99" s="1985"/>
      <c r="C99" s="1243" t="str">
        <f>F!C273</f>
        <v>burned &gt;30 years ago, or no evidence of a burn and no data.</v>
      </c>
      <c r="D99" s="383">
        <f>F!D273</f>
        <v>0</v>
      </c>
      <c r="E99" s="1564">
        <v>4</v>
      </c>
      <c r="F99" s="335">
        <f>D99*E99</f>
        <v>0</v>
      </c>
      <c r="G99" s="1588"/>
      <c r="H99" s="2007"/>
      <c r="I99" s="2009"/>
    </row>
    <row r="100" spans="1:9" ht="81.75" customHeight="1" thickBot="1" x14ac:dyDescent="0.25">
      <c r="A100" s="1369" t="str">
        <f>F!A331</f>
        <v>F69</v>
      </c>
      <c r="B100" s="1984" t="str">
        <f>F!B331</f>
        <v>Wetland as a % of Its Contributing Area (Catchment)</v>
      </c>
      <c r="C100" s="1291" t="str">
        <f>F!C331</f>
        <v>Estimate the approximate boundaries of the wetland's catchment (CA) from a topographic map.Then adjust those boundaries if necessary based on your field observations of the surrounding terrain, and/or by using procedures described in the ABWRET Manual.  Divide the area of the wetland (not just the AA) by the approximate area of its catchment , excluding the area of the wetland itself.  When doing the calculation, if ponded water adjoins the wetland, include that in the wetland's area.  The result is:</v>
      </c>
      <c r="D100" s="1292"/>
      <c r="E100" s="1292"/>
      <c r="F100" s="1293"/>
      <c r="G100" s="1294">
        <f>MAX(F101:F104)/MAX(E101:E104)</f>
        <v>0</v>
      </c>
      <c r="H100" s="2011" t="s">
        <v>2253</v>
      </c>
      <c r="I100" s="2008" t="s">
        <v>2289</v>
      </c>
    </row>
    <row r="101" spans="1:9" ht="33.75" customHeight="1" x14ac:dyDescent="0.2">
      <c r="A101" s="1370"/>
      <c r="B101" s="1985"/>
      <c r="C101" s="1295" t="str">
        <f>F!C332</f>
        <v>&lt;1%, or catchment size unknown due to stormwater pipes that collect water from an indeterminate area.</v>
      </c>
      <c r="D101" s="763">
        <f>F!D332</f>
        <v>0</v>
      </c>
      <c r="E101" s="1296">
        <v>1</v>
      </c>
      <c r="F101" s="335">
        <f t="shared" ref="F101:F104" si="2">D101*E101</f>
        <v>0</v>
      </c>
      <c r="G101" s="1297"/>
      <c r="H101" s="2007"/>
      <c r="I101" s="2009"/>
    </row>
    <row r="102" spans="1:9" x14ac:dyDescent="0.2">
      <c r="A102" s="1370"/>
      <c r="B102" s="1985"/>
      <c r="C102" s="1295" t="str">
        <f>F!C333</f>
        <v>1-10%</v>
      </c>
      <c r="D102" s="763">
        <f>F!D333</f>
        <v>0</v>
      </c>
      <c r="E102" s="1296">
        <v>2</v>
      </c>
      <c r="F102" s="335">
        <f t="shared" si="2"/>
        <v>0</v>
      </c>
      <c r="G102" s="1298"/>
      <c r="H102" s="2007"/>
      <c r="I102" s="2009"/>
    </row>
    <row r="103" spans="1:9" x14ac:dyDescent="0.2">
      <c r="A103" s="1370"/>
      <c r="B103" s="1985"/>
      <c r="C103" s="1295" t="str">
        <f>F!C334</f>
        <v>10-100%</v>
      </c>
      <c r="D103" s="763">
        <f>F!D334</f>
        <v>0</v>
      </c>
      <c r="E103" s="1296">
        <v>3</v>
      </c>
      <c r="F103" s="335">
        <f t="shared" si="2"/>
        <v>0</v>
      </c>
      <c r="G103" s="1298"/>
      <c r="H103" s="2007"/>
      <c r="I103" s="2009"/>
    </row>
    <row r="104" spans="1:9" ht="26.25" thickBot="1" x14ac:dyDescent="0.25">
      <c r="A104" s="1420"/>
      <c r="B104" s="2005"/>
      <c r="C104" s="1299" t="str">
        <f>F!C335</f>
        <v xml:space="preserve">&gt;100% (wetland is larger than its catchment (e.g., wetland is isolated by dikes with no input channels, is fed entirely by groundwater, or is a raised bog). </v>
      </c>
      <c r="D104" s="191">
        <f>F!D335</f>
        <v>0</v>
      </c>
      <c r="E104" s="1300">
        <v>4</v>
      </c>
      <c r="F104" s="1301">
        <f t="shared" si="2"/>
        <v>0</v>
      </c>
      <c r="G104" s="1302"/>
      <c r="H104" s="2012"/>
      <c r="I104" s="2010"/>
    </row>
    <row r="105" spans="1:9" ht="21" customHeight="1" x14ac:dyDescent="0.2">
      <c r="A105" s="10"/>
      <c r="B105" s="940"/>
      <c r="C105" s="940"/>
      <c r="D105" s="940"/>
      <c r="E105" s="940"/>
      <c r="F105" s="940"/>
      <c r="G105" s="940"/>
      <c r="H105" s="110" t="s">
        <v>406</v>
      </c>
      <c r="I105" s="110"/>
    </row>
    <row r="106" spans="1:9" ht="21" customHeight="1" thickBot="1" x14ac:dyDescent="0.25">
      <c r="A106" s="10"/>
      <c r="B106" s="940"/>
      <c r="C106" s="1027"/>
      <c r="D106" s="1589"/>
      <c r="E106" s="1589"/>
      <c r="F106" s="1589"/>
      <c r="G106" s="1589"/>
      <c r="H106" s="6"/>
      <c r="I106" s="6"/>
    </row>
    <row r="107" spans="1:9" ht="21" customHeight="1" thickBot="1" x14ac:dyDescent="0.25">
      <c r="A107" s="10"/>
      <c r="B107" s="940"/>
      <c r="C107" s="389" t="s">
        <v>711</v>
      </c>
      <c r="D107" s="618"/>
      <c r="E107" s="618"/>
      <c r="F107" s="618"/>
      <c r="G107" s="618"/>
      <c r="H107" s="6"/>
      <c r="I107" s="6"/>
    </row>
    <row r="108" spans="1:9" ht="20.25" customHeight="1" thickBot="1" x14ac:dyDescent="0.25">
      <c r="A108" s="10"/>
      <c r="B108" s="940"/>
      <c r="C108" s="83" t="s">
        <v>2380</v>
      </c>
      <c r="D108" s="507"/>
      <c r="E108" s="507"/>
      <c r="F108" s="507"/>
      <c r="G108" s="285">
        <f>AVERAGE(WetArea,AVERAGE(WetPctCA1, ElevPctileHUC8),Fluctua1, SeasPct1)</f>
        <v>0</v>
      </c>
      <c r="H108" s="6"/>
      <c r="I108" s="6"/>
    </row>
    <row r="109" spans="1:9" ht="21" customHeight="1" thickBot="1" x14ac:dyDescent="0.25">
      <c r="A109" s="10"/>
      <c r="B109" s="940"/>
      <c r="C109" s="827"/>
      <c r="D109" s="827"/>
      <c r="E109" s="827"/>
      <c r="F109" s="827"/>
      <c r="G109" s="827"/>
      <c r="H109" s="6"/>
      <c r="I109" s="6"/>
    </row>
    <row r="110" spans="1:9" ht="21" customHeight="1" thickBot="1" x14ac:dyDescent="0.25">
      <c r="A110" s="10"/>
      <c r="B110" s="940"/>
      <c r="C110" s="388" t="s">
        <v>712</v>
      </c>
      <c r="D110" s="1027"/>
      <c r="E110" s="1027"/>
      <c r="F110" s="1027"/>
      <c r="G110" s="1027"/>
      <c r="H110" s="6"/>
      <c r="I110" s="6"/>
    </row>
    <row r="111" spans="1:9" ht="21" customHeight="1" thickBot="1" x14ac:dyDescent="0.25">
      <c r="A111" s="10"/>
      <c r="B111" s="940"/>
      <c r="C111" s="1023" t="s">
        <v>1119</v>
      </c>
      <c r="D111" s="1590"/>
      <c r="E111" s="293"/>
      <c r="F111" s="293"/>
      <c r="G111" s="285">
        <f>AVERAGE(ThruFlo1, Gradient1, Girreg1, Constric1, IsoDry1, Vwidth1)</f>
        <v>0</v>
      </c>
      <c r="H111" s="6"/>
      <c r="I111" s="6"/>
    </row>
    <row r="112" spans="1:9" ht="21" customHeight="1" thickBot="1" x14ac:dyDescent="0.25">
      <c r="A112" s="10"/>
      <c r="B112" s="940"/>
      <c r="C112" s="1589"/>
      <c r="D112" s="1589"/>
      <c r="E112" s="1589"/>
      <c r="F112" s="1589"/>
      <c r="G112" s="1589"/>
      <c r="H112" s="1589"/>
      <c r="I112" s="6"/>
    </row>
    <row r="113" spans="1:9" ht="21" customHeight="1" thickBot="1" x14ac:dyDescent="0.25">
      <c r="A113" s="10"/>
      <c r="B113" s="940"/>
      <c r="C113" s="389" t="s">
        <v>2170</v>
      </c>
      <c r="D113" s="1027"/>
      <c r="E113" s="1027"/>
      <c r="F113" s="1027"/>
      <c r="G113" s="1027"/>
      <c r="H113" s="1589"/>
      <c r="I113" s="6"/>
    </row>
    <row r="114" spans="1:9" ht="39" thickBot="1" x14ac:dyDescent="0.25">
      <c r="A114" s="10"/>
      <c r="B114" s="940"/>
      <c r="C114" s="1303" t="s">
        <v>2381</v>
      </c>
      <c r="D114" s="1590"/>
      <c r="E114" s="293"/>
      <c r="F114" s="293"/>
      <c r="G114" s="285">
        <f>(AVERAGE(1-GWDspring, Type1, Groundw1) + AVERAGE(1-Sub0Days, SoilTex1) + AVERAGE(1-PPET, WindSumm, WetPerim2Area, OpenPct1) + AVERAGE(WetVegArea, Burn1,AllWoody1)) / 4</f>
        <v>0.33333333333333331</v>
      </c>
      <c r="H114" s="1589"/>
      <c r="I114" s="6"/>
    </row>
    <row r="115" spans="1:9" ht="21" customHeight="1" thickBot="1" x14ac:dyDescent="0.25">
      <c r="A115" s="10"/>
      <c r="B115" s="940"/>
      <c r="C115" s="1589"/>
      <c r="D115" s="1589"/>
      <c r="E115" s="1589"/>
      <c r="F115" s="1589"/>
      <c r="G115" s="1589"/>
      <c r="H115" s="1589"/>
      <c r="I115" s="6"/>
    </row>
    <row r="116" spans="1:9" ht="21" customHeight="1" thickBot="1" x14ac:dyDescent="0.25">
      <c r="A116" s="10"/>
      <c r="B116" s="940"/>
      <c r="C116" s="386" t="s">
        <v>846</v>
      </c>
      <c r="D116" s="940"/>
      <c r="E116" s="940"/>
      <c r="F116" s="940"/>
      <c r="G116" s="940"/>
      <c r="H116" s="6"/>
      <c r="I116" s="6"/>
    </row>
    <row r="117" spans="1:9" ht="21" customHeight="1" thickBot="1" x14ac:dyDescent="0.25">
      <c r="A117" s="10"/>
      <c r="B117" s="940"/>
      <c r="C117" s="387" t="s">
        <v>504</v>
      </c>
      <c r="D117" s="1027"/>
      <c r="E117" s="1027"/>
      <c r="F117" s="1027"/>
      <c r="G117" s="1027"/>
      <c r="H117" s="6"/>
      <c r="I117" s="6"/>
    </row>
    <row r="118" spans="1:9" ht="21" customHeight="1" thickBot="1" x14ac:dyDescent="0.25">
      <c r="A118" s="10"/>
      <c r="B118" s="940"/>
      <c r="C118" s="83" t="s">
        <v>2426</v>
      </c>
      <c r="D118" s="507"/>
      <c r="E118" s="507"/>
      <c r="F118" s="507"/>
      <c r="G118" s="297">
        <f>10*((2*AVERAGE(OutDura1,STORE1a) + AVERAGE(INFILT1a, RESIST1a))/3)</f>
        <v>0.55555555555555558</v>
      </c>
      <c r="H118" s="6"/>
      <c r="I118" s="6"/>
    </row>
    <row r="119" spans="1:9" ht="21" customHeight="1" thickBot="1" x14ac:dyDescent="0.25">
      <c r="A119" s="10"/>
      <c r="B119" s="940"/>
      <c r="C119" s="1975"/>
      <c r="D119" s="1975"/>
      <c r="E119" s="1975"/>
      <c r="F119" s="1975"/>
      <c r="G119" s="1975"/>
      <c r="H119" s="6"/>
      <c r="I119" s="6"/>
    </row>
    <row r="120" spans="1:9" ht="21" customHeight="1" thickBot="1" x14ac:dyDescent="0.25">
      <c r="A120" s="10"/>
      <c r="B120" s="583"/>
      <c r="C120" s="1591"/>
      <c r="D120" s="583"/>
      <c r="E120" s="940"/>
      <c r="F120" s="940"/>
      <c r="G120" s="940"/>
      <c r="H120" s="940"/>
      <c r="I120" s="814" t="s">
        <v>293</v>
      </c>
    </row>
    <row r="121" spans="1:9" ht="52.5" customHeight="1" x14ac:dyDescent="0.2">
      <c r="A121" s="10"/>
      <c r="B121" s="583"/>
      <c r="C121" s="1591"/>
      <c r="D121" s="583"/>
      <c r="E121" s="940"/>
      <c r="F121" s="940"/>
      <c r="G121" s="940"/>
      <c r="H121" s="940"/>
      <c r="I121" s="816" t="s">
        <v>2286</v>
      </c>
    </row>
    <row r="122" spans="1:9" s="123" customFormat="1" ht="42" customHeight="1" x14ac:dyDescent="0.2">
      <c r="A122" s="10"/>
      <c r="B122" s="1466"/>
      <c r="C122" s="1467"/>
      <c r="D122" s="1468"/>
      <c r="E122" s="940"/>
      <c r="F122" s="940"/>
      <c r="G122" s="940"/>
      <c r="H122" s="940"/>
      <c r="I122" s="816" t="s">
        <v>1136</v>
      </c>
    </row>
    <row r="123" spans="1:9" s="123" customFormat="1" ht="42" customHeight="1" x14ac:dyDescent="0.2">
      <c r="A123" s="10"/>
      <c r="B123" s="1466"/>
      <c r="C123" s="1467"/>
      <c r="D123" s="1468"/>
      <c r="E123" s="940"/>
      <c r="F123" s="940"/>
      <c r="G123" s="940"/>
      <c r="H123" s="940"/>
      <c r="I123" s="816" t="s">
        <v>1787</v>
      </c>
    </row>
    <row r="124" spans="1:9" s="123" customFormat="1" ht="61.15" customHeight="1" x14ac:dyDescent="0.2">
      <c r="A124" s="10"/>
      <c r="B124" s="1466"/>
      <c r="C124" s="1467"/>
      <c r="D124" s="1468"/>
      <c r="E124" s="940"/>
      <c r="F124" s="940"/>
      <c r="G124" s="940"/>
      <c r="H124" s="940"/>
      <c r="I124" s="816" t="s">
        <v>2287</v>
      </c>
    </row>
    <row r="125" spans="1:9" s="123" customFormat="1" ht="52.5" customHeight="1" x14ac:dyDescent="0.2">
      <c r="A125" s="10"/>
      <c r="B125" s="1467"/>
      <c r="C125" s="1467"/>
      <c r="D125" s="1468"/>
      <c r="E125" s="940"/>
      <c r="F125" s="940"/>
      <c r="G125" s="940"/>
      <c r="H125" s="940"/>
      <c r="I125" s="816" t="s">
        <v>295</v>
      </c>
    </row>
    <row r="126" spans="1:9" s="123" customFormat="1" ht="33" customHeight="1" x14ac:dyDescent="0.2">
      <c r="A126" s="10"/>
      <c r="B126" s="1467"/>
      <c r="C126" s="1467"/>
      <c r="D126" s="1468"/>
      <c r="E126" s="940"/>
      <c r="F126" s="940"/>
      <c r="G126" s="940"/>
      <c r="H126" s="940"/>
      <c r="I126" s="816" t="s">
        <v>2288</v>
      </c>
    </row>
    <row r="127" spans="1:9" s="123" customFormat="1" ht="51" x14ac:dyDescent="0.2">
      <c r="A127" s="10"/>
      <c r="B127" s="1467"/>
      <c r="C127" s="1467"/>
      <c r="D127" s="1468"/>
      <c r="E127" s="940"/>
      <c r="F127" s="940"/>
      <c r="G127" s="940"/>
      <c r="H127" s="940"/>
      <c r="I127" s="817" t="s">
        <v>1788</v>
      </c>
    </row>
    <row r="128" spans="1:9" s="123" customFormat="1" ht="42" customHeight="1" x14ac:dyDescent="0.2">
      <c r="A128" s="10"/>
      <c r="B128" s="1467"/>
      <c r="C128" s="1467"/>
      <c r="D128" s="1468"/>
      <c r="E128" s="940"/>
      <c r="F128" s="940"/>
      <c r="G128" s="940"/>
      <c r="H128" s="940"/>
      <c r="I128" s="817" t="s">
        <v>1789</v>
      </c>
    </row>
    <row r="129" spans="1:9" s="123" customFormat="1" ht="29.25" customHeight="1" x14ac:dyDescent="0.2">
      <c r="A129" s="10"/>
      <c r="B129" s="1467"/>
      <c r="C129" s="1467"/>
      <c r="D129" s="1468"/>
      <c r="E129" s="940"/>
      <c r="F129" s="940"/>
      <c r="G129" s="940"/>
      <c r="H129" s="940"/>
      <c r="I129" s="816" t="s">
        <v>1137</v>
      </c>
    </row>
    <row r="130" spans="1:9" s="123" customFormat="1" ht="27" customHeight="1" x14ac:dyDescent="0.2">
      <c r="A130" s="10"/>
      <c r="B130" s="1467"/>
      <c r="C130" s="1467"/>
      <c r="D130" s="1468"/>
      <c r="E130" s="940"/>
      <c r="F130" s="940"/>
      <c r="G130" s="940"/>
      <c r="H130" s="940"/>
      <c r="I130" s="816" t="s">
        <v>1790</v>
      </c>
    </row>
    <row r="131" spans="1:9" s="123" customFormat="1" ht="27" customHeight="1" x14ac:dyDescent="0.2">
      <c r="A131" s="10"/>
      <c r="B131" s="1467"/>
      <c r="C131" s="1467"/>
      <c r="D131" s="1468"/>
      <c r="E131" s="940"/>
      <c r="F131" s="940"/>
      <c r="G131" s="940"/>
      <c r="H131" s="940"/>
      <c r="I131" s="816" t="s">
        <v>1135</v>
      </c>
    </row>
    <row r="132" spans="1:9" s="123" customFormat="1" ht="42" customHeight="1" x14ac:dyDescent="0.2">
      <c r="A132" s="10"/>
      <c r="B132" s="1466">
        <v>3</v>
      </c>
      <c r="C132" s="1467"/>
      <c r="D132" s="1468"/>
      <c r="E132" s="940"/>
      <c r="F132" s="940"/>
      <c r="G132" s="940"/>
      <c r="H132" s="940"/>
      <c r="I132" s="816" t="s">
        <v>1791</v>
      </c>
    </row>
    <row r="133" spans="1:9" s="123" customFormat="1" ht="27" customHeight="1" x14ac:dyDescent="0.2">
      <c r="A133" s="10"/>
      <c r="B133" s="2004"/>
      <c r="C133" s="583"/>
      <c r="D133" s="1592"/>
      <c r="E133" s="940"/>
      <c r="F133" s="940"/>
      <c r="G133" s="940"/>
      <c r="H133" s="940"/>
      <c r="I133" s="818" t="s">
        <v>1088</v>
      </c>
    </row>
    <row r="134" spans="1:9" s="123" customFormat="1" ht="31.5" customHeight="1" x14ac:dyDescent="0.2">
      <c r="A134" s="10"/>
      <c r="B134" s="2004"/>
      <c r="C134" s="1464"/>
      <c r="D134" s="1469"/>
      <c r="E134" s="940"/>
      <c r="F134" s="940"/>
      <c r="G134" s="940"/>
      <c r="H134" s="940"/>
      <c r="I134" s="818" t="s">
        <v>1133</v>
      </c>
    </row>
    <row r="135" spans="1:9" s="123" customFormat="1" ht="27" customHeight="1" x14ac:dyDescent="0.2">
      <c r="A135" s="10"/>
      <c r="B135" s="1466">
        <v>1</v>
      </c>
      <c r="C135" s="1467"/>
      <c r="D135" s="1468"/>
      <c r="E135" s="940"/>
      <c r="F135" s="940"/>
      <c r="G135" s="940"/>
      <c r="H135" s="940"/>
      <c r="I135" s="816" t="s">
        <v>296</v>
      </c>
    </row>
    <row r="136" spans="1:9" s="123" customFormat="1" ht="38.25" x14ac:dyDescent="0.2">
      <c r="A136" s="10"/>
      <c r="B136" s="1466"/>
      <c r="C136" s="1467"/>
      <c r="D136" s="1468"/>
      <c r="E136" s="940"/>
      <c r="F136" s="940"/>
      <c r="G136" s="940"/>
      <c r="H136" s="940"/>
      <c r="I136" s="816" t="s">
        <v>1796</v>
      </c>
    </row>
    <row r="137" spans="1:9" s="123" customFormat="1" ht="42" customHeight="1" x14ac:dyDescent="0.2">
      <c r="A137" s="10"/>
      <c r="B137" s="1466">
        <v>2</v>
      </c>
      <c r="C137" s="1467"/>
      <c r="D137" s="1468"/>
      <c r="E137" s="940"/>
      <c r="F137" s="940"/>
      <c r="G137" s="940"/>
      <c r="H137" s="940"/>
      <c r="I137" s="816" t="s">
        <v>1792</v>
      </c>
    </row>
    <row r="138" spans="1:9" ht="27" customHeight="1" x14ac:dyDescent="0.2">
      <c r="A138" s="10"/>
      <c r="B138" s="1467"/>
      <c r="C138" s="1593"/>
      <c r="D138" s="1468"/>
      <c r="E138" s="940"/>
      <c r="F138" s="940"/>
      <c r="G138" s="940"/>
      <c r="H138" s="940"/>
      <c r="I138" s="816" t="s">
        <v>297</v>
      </c>
    </row>
    <row r="139" spans="1:9" ht="57" customHeight="1" x14ac:dyDescent="0.2">
      <c r="A139" s="10"/>
      <c r="B139" s="1467"/>
      <c r="C139" s="1593"/>
      <c r="D139" s="1468"/>
      <c r="E139" s="940"/>
      <c r="F139" s="940"/>
      <c r="G139" s="940"/>
      <c r="H139" s="940"/>
      <c r="I139" s="817" t="s">
        <v>1793</v>
      </c>
    </row>
    <row r="140" spans="1:9" ht="42" customHeight="1" x14ac:dyDescent="0.2">
      <c r="A140" s="10"/>
      <c r="B140" s="1467"/>
      <c r="C140" s="1593"/>
      <c r="D140" s="1468"/>
      <c r="E140" s="940"/>
      <c r="F140" s="940"/>
      <c r="G140" s="940"/>
      <c r="H140" s="940"/>
      <c r="I140" s="816" t="s">
        <v>1794</v>
      </c>
    </row>
    <row r="141" spans="1:9" ht="29.25" customHeight="1" x14ac:dyDescent="0.2">
      <c r="A141" s="10"/>
      <c r="B141" s="1467"/>
      <c r="C141" s="1593"/>
      <c r="D141" s="1468"/>
      <c r="E141" s="940"/>
      <c r="F141" s="940"/>
      <c r="G141" s="940"/>
      <c r="H141" s="940"/>
      <c r="I141" s="816" t="s">
        <v>298</v>
      </c>
    </row>
    <row r="142" spans="1:9" ht="51" x14ac:dyDescent="0.2">
      <c r="A142" s="10"/>
      <c r="B142" s="1467"/>
      <c r="C142" s="1593"/>
      <c r="D142" s="1468"/>
      <c r="E142" s="940"/>
      <c r="F142" s="940"/>
      <c r="G142" s="940"/>
      <c r="H142" s="940"/>
      <c r="I142" s="817" t="s">
        <v>1795</v>
      </c>
    </row>
    <row r="143" spans="1:9" ht="39" thickBot="1" x14ac:dyDescent="0.25">
      <c r="A143" s="10"/>
      <c r="B143" s="1467"/>
      <c r="C143" s="1593"/>
      <c r="D143" s="1468"/>
      <c r="E143" s="940"/>
      <c r="F143" s="940"/>
      <c r="G143" s="940"/>
      <c r="H143" s="940"/>
      <c r="I143" s="1395" t="s">
        <v>1798</v>
      </c>
    </row>
    <row r="144" spans="1:9" ht="27" customHeight="1" x14ac:dyDescent="0.2">
      <c r="A144" s="10"/>
      <c r="B144" s="1466">
        <v>3</v>
      </c>
      <c r="C144" s="1593"/>
      <c r="D144" s="1468"/>
      <c r="E144" s="940"/>
      <c r="F144" s="940"/>
      <c r="G144" s="940"/>
      <c r="H144" s="940"/>
    </row>
    <row r="145" spans="1:8" ht="27" customHeight="1" x14ac:dyDescent="0.2">
      <c r="A145" s="10"/>
    </row>
    <row r="146" spans="1:8" ht="27" customHeight="1" x14ac:dyDescent="0.2">
      <c r="A146" s="10"/>
    </row>
    <row r="147" spans="1:8" ht="27" customHeight="1" x14ac:dyDescent="0.2">
      <c r="B147" s="136"/>
    </row>
    <row r="148" spans="1:8" ht="27" customHeight="1" x14ac:dyDescent="0.2">
      <c r="B148" s="136"/>
    </row>
    <row r="149" spans="1:8" x14ac:dyDescent="0.2">
      <c r="B149" s="136"/>
    </row>
    <row r="150" spans="1:8" x14ac:dyDescent="0.2">
      <c r="B150" s="136"/>
    </row>
    <row r="151" spans="1:8" ht="21" customHeight="1" x14ac:dyDescent="0.2">
      <c r="A151" s="488"/>
      <c r="B151" s="136"/>
      <c r="E151" s="1497"/>
      <c r="H151" s="25"/>
    </row>
    <row r="152" spans="1:8" ht="43.9" customHeight="1" x14ac:dyDescent="0.2">
      <c r="A152" s="488"/>
      <c r="B152" s="136"/>
      <c r="E152" s="1497"/>
      <c r="H152" s="25"/>
    </row>
    <row r="153" spans="1:8" ht="54" customHeight="1" x14ac:dyDescent="0.2">
      <c r="A153" s="488"/>
      <c r="B153" s="136"/>
      <c r="E153" s="1497"/>
      <c r="H153" s="25"/>
    </row>
    <row r="154" spans="1:8" ht="63" customHeight="1" x14ac:dyDescent="0.2">
      <c r="A154" s="488"/>
      <c r="B154" s="136"/>
      <c r="E154" s="1497"/>
      <c r="H154" s="25"/>
    </row>
    <row r="155" spans="1:8" ht="54" customHeight="1" x14ac:dyDescent="0.2">
      <c r="A155" s="488"/>
      <c r="B155" s="136"/>
      <c r="E155" s="1497"/>
      <c r="H155" s="25"/>
    </row>
    <row r="156" spans="1:8" ht="45" customHeight="1" x14ac:dyDescent="0.2">
      <c r="A156" s="488"/>
      <c r="B156" s="136"/>
      <c r="E156" s="1497"/>
      <c r="H156" s="25"/>
    </row>
    <row r="157" spans="1:8" ht="45" customHeight="1" x14ac:dyDescent="0.2">
      <c r="A157" s="488"/>
      <c r="B157" s="136"/>
      <c r="E157" s="1497"/>
      <c r="H157" s="136"/>
    </row>
    <row r="158" spans="1:8" ht="54.75" customHeight="1" x14ac:dyDescent="0.2">
      <c r="A158" s="488"/>
      <c r="B158" s="136"/>
      <c r="E158" s="1497"/>
      <c r="H158" s="136"/>
    </row>
    <row r="159" spans="1:8" ht="30" customHeight="1" x14ac:dyDescent="0.2">
      <c r="A159" s="488"/>
      <c r="B159" s="136"/>
      <c r="E159" s="1497"/>
      <c r="H159" s="136"/>
    </row>
    <row r="160" spans="1:8" ht="30.6" customHeight="1" x14ac:dyDescent="0.2">
      <c r="A160" s="488"/>
      <c r="B160" s="136"/>
      <c r="C160" s="940"/>
      <c r="E160" s="1497"/>
      <c r="H160" s="136"/>
    </row>
    <row r="161" spans="1:8" ht="30.6" customHeight="1" x14ac:dyDescent="0.2">
      <c r="A161" s="488"/>
      <c r="B161" s="136"/>
      <c r="E161" s="1497"/>
      <c r="H161" s="136"/>
    </row>
    <row r="162" spans="1:8" ht="30.6" customHeight="1" x14ac:dyDescent="0.2">
      <c r="A162" s="488"/>
      <c r="B162" s="136"/>
      <c r="C162" s="940"/>
      <c r="E162" s="1497"/>
      <c r="H162" s="25"/>
    </row>
    <row r="163" spans="1:8" ht="33.6" customHeight="1" x14ac:dyDescent="0.2">
      <c r="A163" s="488"/>
      <c r="B163" s="136"/>
      <c r="C163" s="940"/>
      <c r="E163" s="1497"/>
      <c r="H163" s="25"/>
    </row>
    <row r="164" spans="1:8" x14ac:dyDescent="0.2">
      <c r="A164" s="488"/>
      <c r="B164" s="136"/>
      <c r="C164" s="940"/>
      <c r="E164" s="1497"/>
    </row>
    <row r="165" spans="1:8" x14ac:dyDescent="0.2">
      <c r="A165" s="488"/>
      <c r="B165" s="136"/>
      <c r="C165" s="940"/>
      <c r="E165" s="1497"/>
    </row>
    <row r="166" spans="1:8" x14ac:dyDescent="0.2">
      <c r="A166" s="488"/>
      <c r="B166" s="136"/>
      <c r="C166" s="940"/>
      <c r="E166" s="1497"/>
    </row>
    <row r="167" spans="1:8" x14ac:dyDescent="0.2">
      <c r="A167" s="488"/>
      <c r="B167" s="136"/>
      <c r="C167" s="940"/>
      <c r="E167" s="1497"/>
    </row>
    <row r="168" spans="1:8" x14ac:dyDescent="0.2">
      <c r="A168" s="488"/>
      <c r="B168" s="136"/>
      <c r="C168" s="940"/>
      <c r="E168" s="1497"/>
    </row>
    <row r="169" spans="1:8" x14ac:dyDescent="0.2">
      <c r="A169" s="488"/>
      <c r="B169" s="136"/>
      <c r="C169" s="940"/>
      <c r="E169" s="1497"/>
    </row>
    <row r="170" spans="1:8" x14ac:dyDescent="0.2">
      <c r="A170" s="488"/>
      <c r="B170" s="136"/>
      <c r="C170" s="940"/>
      <c r="E170" s="1497"/>
    </row>
    <row r="171" spans="1:8" x14ac:dyDescent="0.2">
      <c r="A171" s="488"/>
      <c r="B171" s="136"/>
      <c r="C171" s="940"/>
      <c r="E171" s="1497"/>
    </row>
    <row r="172" spans="1:8" x14ac:dyDescent="0.2">
      <c r="A172" s="488"/>
      <c r="B172" s="136"/>
      <c r="C172" s="940"/>
      <c r="E172" s="1497"/>
    </row>
    <row r="173" spans="1:8" x14ac:dyDescent="0.2">
      <c r="A173" s="488"/>
      <c r="B173" s="136"/>
      <c r="C173" s="940"/>
      <c r="E173" s="1497"/>
    </row>
    <row r="174" spans="1:8" x14ac:dyDescent="0.2">
      <c r="A174" s="488"/>
      <c r="B174" s="136"/>
      <c r="C174" s="940"/>
      <c r="E174" s="1497"/>
    </row>
    <row r="175" spans="1:8" x14ac:dyDescent="0.2">
      <c r="A175" s="488"/>
      <c r="B175" s="136"/>
      <c r="C175" s="940"/>
      <c r="E175" s="1497"/>
    </row>
    <row r="176" spans="1:8" x14ac:dyDescent="0.2">
      <c r="A176" s="488"/>
      <c r="B176" s="136"/>
      <c r="C176" s="940"/>
      <c r="E176" s="1497"/>
    </row>
    <row r="177" spans="1:5" x14ac:dyDescent="0.2">
      <c r="A177" s="488"/>
      <c r="B177" s="136"/>
      <c r="C177" s="940"/>
      <c r="E177" s="1497"/>
    </row>
    <row r="178" spans="1:5" x14ac:dyDescent="0.2">
      <c r="A178" s="488"/>
      <c r="B178" s="136"/>
      <c r="C178" s="940"/>
      <c r="E178" s="1497"/>
    </row>
    <row r="179" spans="1:5" x14ac:dyDescent="0.2">
      <c r="A179" s="488"/>
      <c r="B179" s="136"/>
      <c r="C179" s="940"/>
      <c r="E179" s="1497"/>
    </row>
    <row r="180" spans="1:5" x14ac:dyDescent="0.2">
      <c r="A180" s="488"/>
      <c r="B180" s="136"/>
      <c r="C180" s="940"/>
      <c r="E180" s="1497"/>
    </row>
    <row r="181" spans="1:5" x14ac:dyDescent="0.2">
      <c r="A181" s="488"/>
      <c r="B181" s="136"/>
      <c r="C181" s="940"/>
      <c r="E181" s="1497"/>
    </row>
    <row r="182" spans="1:5" x14ac:dyDescent="0.2">
      <c r="A182" s="488"/>
      <c r="B182" s="136"/>
      <c r="C182" s="940"/>
      <c r="E182" s="1497"/>
    </row>
    <row r="183" spans="1:5" x14ac:dyDescent="0.2">
      <c r="A183" s="488"/>
      <c r="B183" s="136"/>
      <c r="C183" s="940"/>
      <c r="E183" s="1497"/>
    </row>
    <row r="184" spans="1:5" x14ac:dyDescent="0.2">
      <c r="A184" s="488"/>
      <c r="B184" s="136"/>
      <c r="C184" s="940"/>
      <c r="E184" s="1497"/>
    </row>
    <row r="185" spans="1:5" x14ac:dyDescent="0.2">
      <c r="A185" s="488"/>
      <c r="B185" s="136"/>
      <c r="C185" s="940"/>
      <c r="E185" s="1497"/>
    </row>
    <row r="186" spans="1:5" x14ac:dyDescent="0.2">
      <c r="A186" s="488"/>
      <c r="B186" s="136"/>
      <c r="C186" s="940"/>
      <c r="E186" s="1497"/>
    </row>
    <row r="187" spans="1:5" x14ac:dyDescent="0.2">
      <c r="A187" s="488"/>
      <c r="B187" s="136"/>
      <c r="C187" s="940"/>
      <c r="E187" s="1497"/>
    </row>
    <row r="188" spans="1:5" x14ac:dyDescent="0.2">
      <c r="A188" s="488"/>
      <c r="B188" s="136"/>
      <c r="C188" s="940"/>
      <c r="E188" s="1497"/>
    </row>
    <row r="189" spans="1:5" x14ac:dyDescent="0.2">
      <c r="A189" s="488"/>
      <c r="B189" s="136"/>
      <c r="C189" s="940"/>
      <c r="E189" s="1497"/>
    </row>
    <row r="190" spans="1:5" x14ac:dyDescent="0.2">
      <c r="A190" s="488"/>
      <c r="B190" s="136"/>
      <c r="C190" s="940"/>
      <c r="E190" s="1497"/>
    </row>
    <row r="191" spans="1:5" x14ac:dyDescent="0.2">
      <c r="A191" s="488"/>
      <c r="B191" s="136"/>
      <c r="C191" s="940"/>
      <c r="E191" s="1497"/>
    </row>
    <row r="192" spans="1:5" x14ac:dyDescent="0.2">
      <c r="A192" s="488"/>
      <c r="B192" s="136"/>
      <c r="C192" s="940"/>
      <c r="E192" s="1497"/>
    </row>
    <row r="193" spans="1:5" x14ac:dyDescent="0.2">
      <c r="A193" s="488"/>
      <c r="B193" s="136"/>
      <c r="C193" s="940"/>
      <c r="E193" s="1497"/>
    </row>
    <row r="194" spans="1:5" x14ac:dyDescent="0.2">
      <c r="A194" s="488"/>
      <c r="B194" s="136"/>
      <c r="C194" s="940"/>
      <c r="E194" s="1497"/>
    </row>
    <row r="195" spans="1:5" x14ac:dyDescent="0.2">
      <c r="A195" s="488"/>
      <c r="B195" s="136"/>
      <c r="C195" s="940"/>
      <c r="E195" s="1497"/>
    </row>
    <row r="196" spans="1:5" x14ac:dyDescent="0.2">
      <c r="A196" s="488"/>
      <c r="B196" s="136"/>
      <c r="C196" s="940"/>
      <c r="E196" s="1497"/>
    </row>
    <row r="197" spans="1:5" x14ac:dyDescent="0.2">
      <c r="A197" s="488"/>
      <c r="B197" s="136"/>
      <c r="C197" s="940"/>
      <c r="E197" s="1497"/>
    </row>
    <row r="198" spans="1:5" x14ac:dyDescent="0.2">
      <c r="A198" s="488"/>
      <c r="B198" s="136"/>
      <c r="C198" s="940"/>
      <c r="E198" s="1497"/>
    </row>
    <row r="199" spans="1:5" x14ac:dyDescent="0.2">
      <c r="A199" s="488"/>
      <c r="B199" s="136"/>
      <c r="C199" s="940"/>
      <c r="E199" s="1497"/>
    </row>
    <row r="200" spans="1:5" x14ac:dyDescent="0.2">
      <c r="A200" s="488"/>
      <c r="B200" s="136"/>
      <c r="C200" s="940"/>
      <c r="E200" s="1497"/>
    </row>
    <row r="201" spans="1:5" x14ac:dyDescent="0.2">
      <c r="A201" s="488"/>
      <c r="B201" s="136"/>
      <c r="C201" s="940"/>
      <c r="E201" s="1497"/>
    </row>
    <row r="202" spans="1:5" x14ac:dyDescent="0.2">
      <c r="A202" s="488"/>
      <c r="B202" s="136"/>
      <c r="C202" s="940"/>
      <c r="E202" s="1497"/>
    </row>
    <row r="203" spans="1:5" x14ac:dyDescent="0.2">
      <c r="A203" s="488"/>
      <c r="B203" s="136"/>
      <c r="C203" s="940"/>
      <c r="E203" s="1497"/>
    </row>
    <row r="204" spans="1:5" x14ac:dyDescent="0.2">
      <c r="A204" s="488"/>
      <c r="B204" s="136"/>
      <c r="C204" s="940"/>
      <c r="E204" s="1497"/>
    </row>
    <row r="205" spans="1:5" x14ac:dyDescent="0.2">
      <c r="A205" s="488"/>
      <c r="B205" s="136"/>
      <c r="C205" s="940"/>
      <c r="E205" s="1497"/>
    </row>
    <row r="206" spans="1:5" x14ac:dyDescent="0.2">
      <c r="A206" s="488"/>
      <c r="B206" s="136"/>
      <c r="C206" s="940"/>
      <c r="E206" s="1497"/>
    </row>
    <row r="207" spans="1:5" x14ac:dyDescent="0.2">
      <c r="A207" s="488"/>
      <c r="B207" s="136"/>
      <c r="C207" s="940"/>
      <c r="E207" s="1497"/>
    </row>
    <row r="208" spans="1:5" x14ac:dyDescent="0.2">
      <c r="A208" s="488"/>
      <c r="B208" s="136"/>
      <c r="C208" s="940"/>
      <c r="E208" s="1497"/>
    </row>
    <row r="209" spans="1:5" x14ac:dyDescent="0.2">
      <c r="A209" s="488"/>
      <c r="B209" s="136"/>
      <c r="C209" s="940"/>
      <c r="E209" s="1497"/>
    </row>
    <row r="210" spans="1:5" x14ac:dyDescent="0.2">
      <c r="A210" s="488"/>
      <c r="B210" s="136"/>
      <c r="C210" s="940"/>
      <c r="E210" s="1497"/>
    </row>
    <row r="211" spans="1:5" x14ac:dyDescent="0.2">
      <c r="A211" s="488"/>
      <c r="B211" s="136"/>
      <c r="C211" s="940"/>
      <c r="E211" s="1497"/>
    </row>
    <row r="212" spans="1:5" x14ac:dyDescent="0.2">
      <c r="A212" s="488"/>
      <c r="B212" s="136"/>
      <c r="C212" s="940"/>
      <c r="E212" s="1497"/>
    </row>
    <row r="213" spans="1:5" x14ac:dyDescent="0.2">
      <c r="A213" s="488"/>
      <c r="B213" s="136"/>
      <c r="C213" s="940"/>
      <c r="E213" s="1497"/>
    </row>
    <row r="214" spans="1:5" x14ac:dyDescent="0.2">
      <c r="A214" s="488"/>
      <c r="B214" s="136"/>
      <c r="C214" s="940"/>
      <c r="E214" s="1497"/>
    </row>
    <row r="215" spans="1:5" x14ac:dyDescent="0.2">
      <c r="A215" s="488"/>
      <c r="B215" s="136"/>
      <c r="C215" s="940"/>
      <c r="E215" s="1497"/>
    </row>
    <row r="216" spans="1:5" x14ac:dyDescent="0.2">
      <c r="A216" s="488"/>
      <c r="B216" s="136"/>
      <c r="C216" s="940"/>
      <c r="E216" s="1497"/>
    </row>
    <row r="217" spans="1:5" x14ac:dyDescent="0.2">
      <c r="A217" s="488"/>
      <c r="B217" s="136"/>
      <c r="C217" s="940"/>
      <c r="E217" s="1497"/>
    </row>
    <row r="218" spans="1:5" x14ac:dyDescent="0.2">
      <c r="A218" s="488"/>
      <c r="B218" s="136"/>
      <c r="C218" s="940"/>
      <c r="E218" s="1497"/>
    </row>
    <row r="219" spans="1:5" x14ac:dyDescent="0.2">
      <c r="A219" s="488"/>
      <c r="B219" s="136"/>
      <c r="C219" s="940"/>
      <c r="E219" s="1497"/>
    </row>
    <row r="220" spans="1:5" x14ac:dyDescent="0.2">
      <c r="A220" s="488"/>
      <c r="B220" s="136"/>
      <c r="C220" s="940"/>
      <c r="E220" s="1497"/>
    </row>
    <row r="221" spans="1:5" x14ac:dyDescent="0.2">
      <c r="A221" s="488"/>
      <c r="B221" s="136"/>
      <c r="C221" s="940"/>
      <c r="E221" s="1497"/>
    </row>
    <row r="222" spans="1:5" x14ac:dyDescent="0.2">
      <c r="A222" s="488"/>
      <c r="B222" s="136"/>
      <c r="C222" s="940"/>
      <c r="E222" s="1497"/>
    </row>
    <row r="223" spans="1:5" x14ac:dyDescent="0.2">
      <c r="A223" s="488"/>
      <c r="B223" s="136"/>
      <c r="C223" s="940"/>
      <c r="E223" s="1497"/>
    </row>
    <row r="224" spans="1:5" x14ac:dyDescent="0.2">
      <c r="A224" s="488"/>
      <c r="B224" s="136"/>
      <c r="C224" s="940"/>
      <c r="E224" s="1497"/>
    </row>
    <row r="225" spans="1:5" x14ac:dyDescent="0.2">
      <c r="A225" s="488"/>
      <c r="B225" s="136"/>
      <c r="C225" s="940"/>
      <c r="E225" s="1497"/>
    </row>
    <row r="226" spans="1:5" x14ac:dyDescent="0.2">
      <c r="A226" s="488"/>
      <c r="B226" s="136"/>
      <c r="C226" s="940"/>
      <c r="E226" s="1497"/>
    </row>
    <row r="227" spans="1:5" x14ac:dyDescent="0.2">
      <c r="A227" s="488"/>
      <c r="B227" s="136"/>
      <c r="C227" s="940"/>
      <c r="E227" s="1497"/>
    </row>
    <row r="228" spans="1:5" x14ac:dyDescent="0.2">
      <c r="A228" s="488"/>
      <c r="B228" s="136"/>
      <c r="C228" s="940"/>
      <c r="E228" s="1497"/>
    </row>
    <row r="229" spans="1:5" x14ac:dyDescent="0.2">
      <c r="A229" s="488"/>
      <c r="B229" s="136"/>
      <c r="C229" s="940"/>
      <c r="E229" s="1497"/>
    </row>
    <row r="230" spans="1:5" x14ac:dyDescent="0.2">
      <c r="A230" s="488"/>
      <c r="B230" s="136"/>
      <c r="C230" s="940"/>
      <c r="E230" s="1497"/>
    </row>
    <row r="231" spans="1:5" x14ac:dyDescent="0.2">
      <c r="A231" s="488"/>
      <c r="B231" s="136"/>
      <c r="C231" s="940"/>
      <c r="E231" s="1497"/>
    </row>
    <row r="232" spans="1:5" x14ac:dyDescent="0.2">
      <c r="A232" s="488"/>
      <c r="B232" s="136"/>
      <c r="C232" s="940"/>
      <c r="E232" s="1497"/>
    </row>
    <row r="233" spans="1:5" x14ac:dyDescent="0.2">
      <c r="A233" s="488"/>
      <c r="B233" s="136"/>
      <c r="C233" s="940"/>
      <c r="E233" s="1497"/>
    </row>
    <row r="234" spans="1:5" x14ac:dyDescent="0.2">
      <c r="A234" s="488"/>
      <c r="B234" s="136"/>
      <c r="C234" s="940"/>
      <c r="E234" s="1497"/>
    </row>
    <row r="235" spans="1:5" x14ac:dyDescent="0.2">
      <c r="A235" s="488"/>
      <c r="B235" s="136"/>
      <c r="C235" s="940"/>
      <c r="E235" s="1497"/>
    </row>
    <row r="236" spans="1:5" x14ac:dyDescent="0.2">
      <c r="A236" s="488"/>
      <c r="E236" s="1497"/>
    </row>
    <row r="237" spans="1:5" x14ac:dyDescent="0.2">
      <c r="A237" s="488"/>
      <c r="E237" s="1497"/>
    </row>
    <row r="238" spans="1:5" x14ac:dyDescent="0.2">
      <c r="A238" s="488"/>
      <c r="E238" s="1497"/>
    </row>
    <row r="239" spans="1:5" x14ac:dyDescent="0.2">
      <c r="A239" s="488"/>
      <c r="E239" s="1497"/>
    </row>
    <row r="240" spans="1:5" x14ac:dyDescent="0.2">
      <c r="A240" s="488"/>
    </row>
  </sheetData>
  <sheetProtection password="C4B9" sheet="1" objects="1" scenarios="1"/>
  <sortState ref="A3:L17">
    <sortCondition ref="H3:H17"/>
  </sortState>
  <customSheetViews>
    <customSheetView guid="{B8E02330-2419-4DE6-AD01-7ACC7A5D18DD}" scale="75" topLeftCell="A108">
      <selection activeCell="F120" sqref="F120"/>
      <pageMargins left="0.75" right="0.75" top="1" bottom="1" header="0.5" footer="0.5"/>
      <pageSetup orientation="portrait" horizontalDpi="4294967294" verticalDpi="300" r:id="rId1"/>
      <headerFooter alignWithMargins="0"/>
    </customSheetView>
  </customSheetViews>
  <mergeCells count="67">
    <mergeCell ref="A95:A99"/>
    <mergeCell ref="I70:I75"/>
    <mergeCell ref="I76:I81"/>
    <mergeCell ref="I90:I94"/>
    <mergeCell ref="I86:I89"/>
    <mergeCell ref="A82:A85"/>
    <mergeCell ref="A90:A94"/>
    <mergeCell ref="A86:A89"/>
    <mergeCell ref="B100:B104"/>
    <mergeCell ref="I100:I104"/>
    <mergeCell ref="H100:H104"/>
    <mergeCell ref="I49:I55"/>
    <mergeCell ref="I63:I69"/>
    <mergeCell ref="I56:I62"/>
    <mergeCell ref="I95:I99"/>
    <mergeCell ref="B82:B85"/>
    <mergeCell ref="B76:B81"/>
    <mergeCell ref="I82:I85"/>
    <mergeCell ref="H76:H79"/>
    <mergeCell ref="B70:B75"/>
    <mergeCell ref="B133:B134"/>
    <mergeCell ref="B27:B30"/>
    <mergeCell ref="H31:H36"/>
    <mergeCell ref="B86:B89"/>
    <mergeCell ref="H86:H89"/>
    <mergeCell ref="H90:H94"/>
    <mergeCell ref="H27:H30"/>
    <mergeCell ref="H95:H99"/>
    <mergeCell ref="H37:H42"/>
    <mergeCell ref="H43:H48"/>
    <mergeCell ref="H63:H69"/>
    <mergeCell ref="H49:H55"/>
    <mergeCell ref="H56:H62"/>
    <mergeCell ref="B95:B99"/>
    <mergeCell ref="B90:B94"/>
    <mergeCell ref="H82:H85"/>
    <mergeCell ref="I43:I48"/>
    <mergeCell ref="A56:A62"/>
    <mergeCell ref="B56:B62"/>
    <mergeCell ref="A70:A75"/>
    <mergeCell ref="A63:A69"/>
    <mergeCell ref="B63:B69"/>
    <mergeCell ref="E1:H1"/>
    <mergeCell ref="A76:A81"/>
    <mergeCell ref="A49:A55"/>
    <mergeCell ref="B49:B55"/>
    <mergeCell ref="B13:B19"/>
    <mergeCell ref="A13:A19"/>
    <mergeCell ref="H70:H75"/>
    <mergeCell ref="B37:B42"/>
    <mergeCell ref="H13:H19"/>
    <mergeCell ref="C119:G119"/>
    <mergeCell ref="A1:B1"/>
    <mergeCell ref="B43:B48"/>
    <mergeCell ref="A31:A36"/>
    <mergeCell ref="I31:I36"/>
    <mergeCell ref="B31:B36"/>
    <mergeCell ref="I27:I30"/>
    <mergeCell ref="I20:I26"/>
    <mergeCell ref="H20:H26"/>
    <mergeCell ref="B20:B26"/>
    <mergeCell ref="A27:A30"/>
    <mergeCell ref="A37:A42"/>
    <mergeCell ref="A43:A48"/>
    <mergeCell ref="I13:I19"/>
    <mergeCell ref="I37:I42"/>
    <mergeCell ref="A20:A26"/>
  </mergeCells>
  <phoneticPr fontId="12" type="noConversion"/>
  <conditionalFormatting sqref="B7:B10">
    <cfRule type="cellIs" dxfId="12" priority="16" stopIfTrue="1" operator="equal">
      <formula>1</formula>
    </cfRule>
  </conditionalFormatting>
  <pageMargins left="0.75" right="0.75" top="1" bottom="1" header="0.5" footer="0.5"/>
  <pageSetup orientation="portrait" horizontalDpi="4294967294" verticalDpi="3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100"/>
  <sheetViews>
    <sheetView zoomScaleNormal="100" workbookViewId="0">
      <selection activeCell="D14" sqref="D14"/>
    </sheetView>
  </sheetViews>
  <sheetFormatPr defaultColWidth="9.33203125" defaultRowHeight="16.5" x14ac:dyDescent="0.2"/>
  <cols>
    <col min="1" max="1" width="5.83203125" style="25" customWidth="1"/>
    <col min="2" max="2" width="18.83203125" style="25" customWidth="1"/>
    <col min="3" max="3" width="69.83203125" style="5" customWidth="1"/>
    <col min="4" max="4" width="6.83203125" style="574" customWidth="1"/>
    <col min="5" max="5" width="7.83203125" style="574" customWidth="1"/>
    <col min="6" max="6" width="9.33203125" style="574" customWidth="1"/>
    <col min="7" max="7" width="10.83203125" style="179" customWidth="1"/>
    <col min="8" max="8" width="14.6640625" style="574" customWidth="1"/>
    <col min="9" max="9" width="67.83203125" style="5" customWidth="1"/>
    <col min="10" max="10" width="66" style="71" customWidth="1"/>
    <col min="11" max="12" width="9.33203125" style="5"/>
    <col min="13" max="13" width="64.83203125" style="5" customWidth="1"/>
    <col min="14" max="16384" width="9.33203125" style="5"/>
  </cols>
  <sheetData>
    <row r="1" spans="1:48" ht="66" customHeight="1" thickBot="1" x14ac:dyDescent="0.25">
      <c r="A1" s="2033" t="s">
        <v>1751</v>
      </c>
      <c r="B1" s="2034"/>
      <c r="C1" s="60" t="s">
        <v>520</v>
      </c>
      <c r="D1" s="73" t="s">
        <v>521</v>
      </c>
      <c r="E1" s="2030"/>
      <c r="F1" s="2031"/>
      <c r="G1" s="2031"/>
      <c r="H1" s="2032"/>
      <c r="I1" s="1393" t="s">
        <v>880</v>
      </c>
    </row>
    <row r="2" spans="1:48" s="334" customFormat="1" ht="47.25" customHeight="1" thickBot="1" x14ac:dyDescent="0.25">
      <c r="A2" s="1008" t="s">
        <v>78</v>
      </c>
      <c r="B2" s="1009" t="s">
        <v>701</v>
      </c>
      <c r="C2" s="1010" t="s">
        <v>866</v>
      </c>
      <c r="D2" s="1008"/>
      <c r="E2" s="1011"/>
      <c r="F2" s="1012"/>
      <c r="G2" s="1013" t="s">
        <v>710</v>
      </c>
      <c r="H2" s="1009" t="s">
        <v>2029</v>
      </c>
      <c r="I2" s="1009" t="s">
        <v>255</v>
      </c>
    </row>
    <row r="3" spans="1:48" s="1325" customFormat="1" ht="57" customHeight="1" thickBot="1" x14ac:dyDescent="0.25">
      <c r="A3" s="317" t="str">
        <f>OF!A10</f>
        <v>OF9</v>
      </c>
      <c r="B3" s="318" t="str">
        <f>OF!C10</f>
        <v xml:space="preserve">Elevation Percentile Within HUC8 </v>
      </c>
      <c r="C3" s="336"/>
      <c r="D3" s="320"/>
      <c r="E3" s="321"/>
      <c r="F3" s="321"/>
      <c r="G3" s="343" t="str">
        <f>IF((ElevPctileHUC8=""),"",ElevPctileHUC8)</f>
        <v/>
      </c>
      <c r="H3" s="331" t="s">
        <v>670</v>
      </c>
      <c r="I3" s="348" t="s">
        <v>1343</v>
      </c>
      <c r="K3" s="1596"/>
    </row>
    <row r="4" spans="1:48" s="1325" customFormat="1" ht="30" customHeight="1" thickBot="1" x14ac:dyDescent="0.25">
      <c r="A4" s="317" t="str">
        <f>OF!A17</f>
        <v>OF16</v>
      </c>
      <c r="B4" s="1308" t="str">
        <f>OF!C17</f>
        <v>Groundwater Discharge Area or Spring</v>
      </c>
      <c r="C4" s="336"/>
      <c r="D4" s="1259"/>
      <c r="E4" s="1260"/>
      <c r="F4" s="1260"/>
      <c r="G4" s="809" t="str">
        <f>IF((GWDspring=""),"",GWDspring)</f>
        <v/>
      </c>
      <c r="H4" s="1309" t="s">
        <v>668</v>
      </c>
      <c r="I4" s="348" t="s">
        <v>2382</v>
      </c>
    </row>
    <row r="5" spans="1:48" s="1325" customFormat="1" ht="30" customHeight="1" thickBot="1" x14ac:dyDescent="0.25">
      <c r="A5" s="322" t="str">
        <f>OF!A28</f>
        <v>OF27</v>
      </c>
      <c r="B5" s="323" t="str">
        <f>OF!C28</f>
        <v>Climate Moisture Surplus (P-PET)</v>
      </c>
      <c r="C5" s="337"/>
      <c r="D5" s="324"/>
      <c r="E5" s="325"/>
      <c r="F5" s="325"/>
      <c r="G5" s="345" t="str">
        <f>IF((PPET=""),"",PPET)</f>
        <v/>
      </c>
      <c r="H5" s="351" t="s">
        <v>664</v>
      </c>
      <c r="I5" s="349" t="s">
        <v>1032</v>
      </c>
      <c r="J5" s="71"/>
      <c r="K5" s="1596"/>
      <c r="L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8" s="1325" customFormat="1" ht="30" customHeight="1" thickBot="1" x14ac:dyDescent="0.25">
      <c r="A6" s="317" t="str">
        <f>OF!A34</f>
        <v>OF33</v>
      </c>
      <c r="B6" s="318" t="str">
        <f>OF!C34</f>
        <v>Riparian or Floodway Location</v>
      </c>
      <c r="C6" s="336"/>
      <c r="D6" s="320"/>
      <c r="E6" s="321"/>
      <c r="F6" s="321"/>
      <c r="G6" s="330" t="str">
        <f>IF((RipFloodpl=""),"",RipFloodpl)</f>
        <v/>
      </c>
      <c r="H6" s="331" t="s">
        <v>697</v>
      </c>
      <c r="I6" s="348" t="s">
        <v>1033</v>
      </c>
      <c r="K6" s="1596"/>
    </row>
    <row r="7" spans="1:48" s="1325" customFormat="1" ht="30" customHeight="1" thickBot="1" x14ac:dyDescent="0.25">
      <c r="A7" s="317" t="str">
        <f>OF!A37</f>
        <v>OF36</v>
      </c>
      <c r="B7" s="318" t="str">
        <f>OF!C37</f>
        <v>Subzero Days</v>
      </c>
      <c r="C7" s="336"/>
      <c r="D7" s="320"/>
      <c r="E7" s="321"/>
      <c r="F7" s="321"/>
      <c r="G7" s="343" t="str">
        <f>IF((Sub0Days=""),"",Sub0Days)</f>
        <v/>
      </c>
      <c r="H7" s="331" t="s">
        <v>689</v>
      </c>
      <c r="I7" s="348" t="s">
        <v>1034</v>
      </c>
      <c r="K7" s="1596"/>
    </row>
    <row r="8" spans="1:48" s="1325" customFormat="1" ht="51.75" thickBot="1" x14ac:dyDescent="0.25">
      <c r="A8" s="317" t="str">
        <f>OF!A48</f>
        <v>OF47</v>
      </c>
      <c r="B8" s="318" t="str">
        <f>OF!C48</f>
        <v>Wetland as a % of Its HUC8</v>
      </c>
      <c r="C8" s="336"/>
      <c r="D8" s="320"/>
      <c r="E8" s="321"/>
      <c r="F8" s="321"/>
      <c r="G8" s="343" t="str">
        <f>IF((WetPctHUC8=""),"",WetPctHUC8)</f>
        <v/>
      </c>
      <c r="H8" s="331" t="s">
        <v>792</v>
      </c>
      <c r="I8" s="348" t="s">
        <v>1344</v>
      </c>
      <c r="K8" s="1596"/>
    </row>
    <row r="9" spans="1:48" ht="32.25" customHeight="1" thickBot="1" x14ac:dyDescent="0.25">
      <c r="A9" s="322" t="str">
        <f>OF!A49</f>
        <v>OF48</v>
      </c>
      <c r="B9" s="323" t="str">
        <f>OF!C49</f>
        <v>Upland Edge Index</v>
      </c>
      <c r="C9" s="337"/>
      <c r="D9" s="324"/>
      <c r="E9" s="325"/>
      <c r="F9" s="325"/>
      <c r="G9" s="346" t="str">
        <f>IF((WetPerim2Area=""),"",1-WetPerim2Area)</f>
        <v/>
      </c>
      <c r="H9" s="351" t="s">
        <v>657</v>
      </c>
      <c r="I9" s="349" t="s">
        <v>1091</v>
      </c>
      <c r="J9" s="1325"/>
      <c r="K9" s="1596"/>
      <c r="L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row>
    <row r="10" spans="1:48" s="1325" customFormat="1" ht="26.25" thickBot="1" x14ac:dyDescent="0.25">
      <c r="A10" s="317" t="str">
        <f>OF!A50</f>
        <v>OF49</v>
      </c>
      <c r="B10" s="318" t="str">
        <f>OF!C50</f>
        <v>Wetland Vegetated Area (in hectares)</v>
      </c>
      <c r="C10" s="336"/>
      <c r="D10" s="320"/>
      <c r="E10" s="321"/>
      <c r="F10" s="321"/>
      <c r="G10" s="343" t="str">
        <f>IF((WetVegArea=""),"",1-WetVegArea)</f>
        <v/>
      </c>
      <c r="H10" s="331" t="s">
        <v>656</v>
      </c>
      <c r="I10" s="348" t="s">
        <v>1035</v>
      </c>
      <c r="J10" s="71"/>
      <c r="K10" s="1596"/>
    </row>
    <row r="11" spans="1:48" s="1325" customFormat="1" ht="39" thickBot="1" x14ac:dyDescent="0.25">
      <c r="A11" s="317" t="str">
        <f>OF!A52</f>
        <v>OF51</v>
      </c>
      <c r="B11" s="318" t="str">
        <f>OF!C52</f>
        <v>Wind Energy - Summer</v>
      </c>
      <c r="C11" s="336"/>
      <c r="D11" s="320"/>
      <c r="E11" s="321"/>
      <c r="F11" s="321"/>
      <c r="G11" s="343" t="str">
        <f>IF((WindSumm=""),"",1-WindSumm)</f>
        <v/>
      </c>
      <c r="H11" s="331" t="s">
        <v>666</v>
      </c>
      <c r="I11" s="348" t="s">
        <v>1036</v>
      </c>
      <c r="K11" s="1596"/>
    </row>
    <row r="12" spans="1:48" s="1" customFormat="1" ht="36" customHeight="1" thickBot="1" x14ac:dyDescent="0.25">
      <c r="A12" s="757" t="s">
        <v>78</v>
      </c>
      <c r="B12" s="739" t="s">
        <v>709</v>
      </c>
      <c r="C12" s="731" t="s">
        <v>708</v>
      </c>
      <c r="D12" s="740" t="s">
        <v>33</v>
      </c>
      <c r="E12" s="741" t="s">
        <v>1131</v>
      </c>
      <c r="F12" s="742" t="s">
        <v>1130</v>
      </c>
      <c r="G12" s="743" t="s">
        <v>710</v>
      </c>
      <c r="H12" s="750" t="s">
        <v>2028</v>
      </c>
      <c r="I12" s="638" t="s">
        <v>917</v>
      </c>
      <c r="J12" s="44"/>
    </row>
    <row r="13" spans="1:48" s="6" customFormat="1" ht="21" customHeight="1" thickBot="1" x14ac:dyDescent="0.25">
      <c r="A13" s="1992" t="str">
        <f>F!A5</f>
        <v>F1</v>
      </c>
      <c r="B13" s="1867" t="str">
        <f>F!B5</f>
        <v>Wetland Type - Predominant</v>
      </c>
      <c r="C13" s="352" t="str">
        <f>F!C5</f>
        <v>Follow the key below and mark the ONE row that best describes MOST of the AA:</v>
      </c>
      <c r="D13" s="756"/>
      <c r="E13" s="353"/>
      <c r="F13" s="224"/>
      <c r="G13" s="225">
        <f>MAX(F14:F19)/MAX(E14:E19)</f>
        <v>0</v>
      </c>
      <c r="H13" s="1867" t="s">
        <v>234</v>
      </c>
      <c r="I13" s="2022" t="s">
        <v>1345</v>
      </c>
      <c r="J13" s="76"/>
    </row>
    <row r="14" spans="1:48" s="6" customFormat="1" ht="41.25" customHeight="1" x14ac:dyDescent="0.2">
      <c r="A14" s="1991"/>
      <c r="B14" s="1911"/>
      <c r="C14" s="934" t="str">
        <f>F!C6</f>
        <v>A. Moss and/or lichen cover more than 25% of the ground. Substrate is mostly undecomposed peat. Choose between A1 and A2 and mark the choice with a 1 in their adjoining column. Otherwise go to B below.</v>
      </c>
      <c r="D14" s="754"/>
      <c r="E14" s="754"/>
      <c r="F14" s="755"/>
      <c r="G14" s="222"/>
      <c r="H14" s="1911"/>
      <c r="I14" s="2023"/>
      <c r="J14" s="76"/>
    </row>
    <row r="15" spans="1:48" s="6" customFormat="1" ht="89.25" x14ac:dyDescent="0.2">
      <c r="A15" s="1991"/>
      <c r="B15" s="1911"/>
      <c r="C15" s="935" t="str">
        <f>F!C7</f>
        <v xml:space="preserve">   A1. Surface water is usually absent or, if present, pH is typically &lt;4.5 and conductivity is &lt;100 µS/cm (about 64 ppm TDS).  Often dominated by ericaceous shrubs (e.g., Labrador tea, lingonberry), sometimes with pitcher plant, sundew. Sedge cover usually sparse or absent. Trees, if present, are mainly limited to black spruce.  Wetland surface is never sloping, except sometimes from wetland center towards outer edges (convex), and surrounding landscape is flat.  Inlet and outlet channels are usually absent.</v>
      </c>
      <c r="D15" s="733">
        <f>F!D7</f>
        <v>0</v>
      </c>
      <c r="E15" s="754">
        <v>2</v>
      </c>
      <c r="F15" s="755">
        <f t="shared" ref="F15:F19" si="0">D15*E15</f>
        <v>0</v>
      </c>
      <c r="G15" s="222"/>
      <c r="H15" s="1911"/>
      <c r="I15" s="2023"/>
      <c r="J15" s="76"/>
    </row>
    <row r="16" spans="1:48" s="6" customFormat="1" ht="63.75" x14ac:dyDescent="0.2">
      <c r="A16" s="1991"/>
      <c r="B16" s="1911"/>
      <c r="C16" s="935" t="str">
        <f>F!C8</f>
        <v xml:space="preserve">   A2. Not A1. Surface water, if present, has pH typically &gt;4.5 and conductivity is &gt;100 µS/cm.  Sedges and/or cottongrass often dominate the ground cover, while ericaceous shrubs and black spruce may also be present. Sometimes at toe of slope or edge of water body. An exit channel is usually present. Wetter than A1, often with many small persistent pools.</v>
      </c>
      <c r="D16" s="733">
        <f>F!D8</f>
        <v>0</v>
      </c>
      <c r="E16" s="754">
        <v>3</v>
      </c>
      <c r="F16" s="755">
        <f t="shared" si="0"/>
        <v>0</v>
      </c>
      <c r="G16" s="222"/>
      <c r="H16" s="1911"/>
      <c r="I16" s="2023"/>
      <c r="J16" s="76"/>
    </row>
    <row r="17" spans="1:10" s="6" customFormat="1" ht="38.25" x14ac:dyDescent="0.2">
      <c r="A17" s="1991"/>
      <c r="B17" s="1911"/>
      <c r="C17" s="935" t="str">
        <f>F!C9</f>
        <v>B. Moss and/or lichen cover less than 25% of the ground. Soil is mineral or decomposed organic (muck). Choose between B1 and B2 and mark the choice with a 1 in their adjoining column:</v>
      </c>
      <c r="D17" s="754"/>
      <c r="E17" s="754"/>
      <c r="F17" s="755"/>
      <c r="G17" s="222"/>
      <c r="H17" s="1911"/>
      <c r="I17" s="2023"/>
      <c r="J17" s="76"/>
    </row>
    <row r="18" spans="1:10" s="6" customFormat="1" ht="51" x14ac:dyDescent="0.2">
      <c r="A18" s="1991"/>
      <c r="B18" s="1911"/>
      <c r="C18" s="935" t="str">
        <f>F!C10</f>
        <v xml:space="preserve">   B1. Trees and shrubs taller than 1 m comprise more than 25% of the vegetated cover. Surface water is mostly absent or inundates the vegetation only seasonally (e.g., snowmelt pools or floodplain).  Often in riparian settings, abandoned beaver flowages.</v>
      </c>
      <c r="D18" s="733">
        <f>F!D10</f>
        <v>0</v>
      </c>
      <c r="E18" s="754">
        <v>1</v>
      </c>
      <c r="F18" s="755">
        <f t="shared" si="0"/>
        <v>0</v>
      </c>
      <c r="G18" s="222"/>
      <c r="H18" s="1911"/>
      <c r="I18" s="2023"/>
      <c r="J18" s="76"/>
    </row>
    <row r="19" spans="1:10" s="6" customFormat="1" ht="77.25" thickBot="1" x14ac:dyDescent="0.25">
      <c r="A19" s="1991"/>
      <c r="B19" s="1911"/>
      <c r="C19" s="935" t="str">
        <f>F!C11</f>
        <v xml:space="preserve">   B2. Not B1.  Tree &amp; tall shrubs taller than 1 m comprise less than 25% of the vegetated cover. Vegetation is mostly herbaceous, e.g., cattail, bulrush, burreed, pond lily, horsetail.  Often in depressions (potholes, created ponds), or along lakes and rivers, or where fill has blocked water movement causing prolonged flooding of wetlands formerly covered by moss.  Surface water often fluctuates widely among seasons and years.</v>
      </c>
      <c r="D19" s="733">
        <f>F!D11</f>
        <v>0</v>
      </c>
      <c r="E19" s="754">
        <v>0</v>
      </c>
      <c r="F19" s="755">
        <f t="shared" si="0"/>
        <v>0</v>
      </c>
      <c r="G19" s="222"/>
      <c r="H19" s="1911"/>
      <c r="I19" s="2023"/>
      <c r="J19" s="76"/>
    </row>
    <row r="20" spans="1:10" ht="41.25" customHeight="1" thickBot="1" x14ac:dyDescent="0.25">
      <c r="A20" s="2000" t="str">
        <f>F!A77</f>
        <v>F14</v>
      </c>
      <c r="B20" s="2000" t="str">
        <f>F!B77</f>
        <v>Soil Texture</v>
      </c>
      <c r="C20" s="421" t="str">
        <f>F!C77</f>
        <v>In parts of the AA that lack persistent water, the texture of soil in the uppermost layer is mostly:  [To determine this, use a trowel to check in at least 3 widely spaced locations, and use the soil texture key in Appendix A of the Manual].</v>
      </c>
      <c r="D20" s="756"/>
      <c r="E20" s="353"/>
      <c r="F20" s="224"/>
      <c r="G20" s="358">
        <f>MAX(F21:F26)/MAX(E21:E26)</f>
        <v>0</v>
      </c>
      <c r="H20" s="2000" t="s">
        <v>189</v>
      </c>
      <c r="I20" s="2027" t="s">
        <v>2462</v>
      </c>
    </row>
    <row r="21" spans="1:10" ht="15" customHeight="1" x14ac:dyDescent="0.2">
      <c r="A21" s="1989"/>
      <c r="B21" s="1989"/>
      <c r="C21" s="768" t="str">
        <f>F!C78</f>
        <v>Loamy: includes loam, sandy loam.</v>
      </c>
      <c r="D21" s="737">
        <f>F!D78</f>
        <v>0</v>
      </c>
      <c r="E21" s="755">
        <v>1</v>
      </c>
      <c r="F21" s="755">
        <f t="shared" ref="F21:F26" si="1">D21*E21</f>
        <v>0</v>
      </c>
      <c r="G21" s="222"/>
      <c r="H21" s="1989"/>
      <c r="I21" s="2028"/>
    </row>
    <row r="22" spans="1:10" ht="27" customHeight="1" x14ac:dyDescent="0.2">
      <c r="A22" s="1989"/>
      <c r="B22" s="1989"/>
      <c r="C22" s="813" t="str">
        <f>F!C79</f>
        <v>Fines: includes silt, glacial flour, clay, clay loam, silty clay, silty clay loam, sandy clay, sandy clay loam.</v>
      </c>
      <c r="D22" s="737">
        <f>F!D79</f>
        <v>0</v>
      </c>
      <c r="E22" s="755">
        <v>0</v>
      </c>
      <c r="F22" s="755">
        <f t="shared" si="1"/>
        <v>0</v>
      </c>
      <c r="G22" s="759"/>
      <c r="H22" s="1989"/>
      <c r="I22" s="2028"/>
    </row>
    <row r="23" spans="1:10" ht="15" customHeight="1" x14ac:dyDescent="0.2">
      <c r="A23" s="1989"/>
      <c r="B23" s="1989"/>
      <c r="C23" s="813" t="str">
        <f>F!C80</f>
        <v>Peat, present to 40 cm depth or greater.</v>
      </c>
      <c r="D23" s="737">
        <f>F!D80</f>
        <v>0</v>
      </c>
      <c r="E23" s="755">
        <v>4</v>
      </c>
      <c r="F23" s="755">
        <f t="shared" si="1"/>
        <v>0</v>
      </c>
      <c r="G23" s="759"/>
      <c r="H23" s="1989"/>
      <c r="I23" s="2028"/>
    </row>
    <row r="24" spans="1:10" ht="15" customHeight="1" x14ac:dyDescent="0.2">
      <c r="A24" s="1989"/>
      <c r="B24" s="1989"/>
      <c r="C24" s="813" t="str">
        <f>F!C81</f>
        <v>Peat, but becomes mineral before reaching 40 cm depth.</v>
      </c>
      <c r="D24" s="737">
        <f>F!D81</f>
        <v>0</v>
      </c>
      <c r="E24" s="357">
        <v>3</v>
      </c>
      <c r="F24" s="357">
        <f t="shared" si="1"/>
        <v>0</v>
      </c>
      <c r="G24" s="729"/>
      <c r="H24" s="1989"/>
      <c r="I24" s="2028"/>
    </row>
    <row r="25" spans="1:10" ht="15" customHeight="1" x14ac:dyDescent="0.2">
      <c r="A25" s="1989"/>
      <c r="B25" s="1989"/>
      <c r="C25" s="813" t="str">
        <f>F!C82</f>
        <v>Organic or organic muck, but becomes mineral before reaching 40 cm depth.</v>
      </c>
      <c r="D25" s="737">
        <f>F!D82</f>
        <v>0</v>
      </c>
      <c r="E25" s="357">
        <v>2</v>
      </c>
      <c r="F25" s="357">
        <f t="shared" si="1"/>
        <v>0</v>
      </c>
      <c r="G25" s="729"/>
      <c r="H25" s="1989"/>
      <c r="I25" s="2028"/>
    </row>
    <row r="26" spans="1:10" ht="27" customHeight="1" thickBot="1" x14ac:dyDescent="0.25">
      <c r="A26" s="1990"/>
      <c r="B26" s="1990"/>
      <c r="C26" s="340" t="str">
        <f>F!C83</f>
        <v>Coarse: includes sand, loamy sand, gravel, cobble, stones, boulders, fluvents, fluvaquents, riverwash.</v>
      </c>
      <c r="D26" s="81">
        <f>F!D83</f>
        <v>0</v>
      </c>
      <c r="E26" s="227">
        <v>1</v>
      </c>
      <c r="F26" s="227">
        <f t="shared" si="1"/>
        <v>0</v>
      </c>
      <c r="G26" s="228"/>
      <c r="H26" s="1990"/>
      <c r="I26" s="2029"/>
    </row>
    <row r="27" spans="1:10" ht="51.75" thickBot="1" x14ac:dyDescent="0.25">
      <c r="A27" s="2035" t="str">
        <f>F!A155</f>
        <v>F29</v>
      </c>
      <c r="B27" s="1989" t="str">
        <f>F!B155</f>
        <v>Predominant Depth Class</v>
      </c>
      <c r="C27" s="1399" t="str">
        <f>F!C155</f>
        <v>During most of the time when water is present, its depth in most of the area is: [Note: This is not asking for the maximum depth]. If a ponded body of open water that adjoins the AA is larger than 8 ha, include its waters in this estimate, but only those waters within a distance from the AA that is equal to the vegetated AA's width]</v>
      </c>
      <c r="D27" s="758"/>
      <c r="E27" s="758"/>
      <c r="F27" s="218"/>
      <c r="G27" s="219">
        <f>IF((AllSat1&gt;0),"", IF((SmallAA=1),"", MAX(F28:F32)/MAX(E28:E32)))</f>
        <v>0</v>
      </c>
      <c r="H27" s="1989" t="s">
        <v>188</v>
      </c>
      <c r="I27" s="2026" t="s">
        <v>1338</v>
      </c>
    </row>
    <row r="28" spans="1:10" ht="15" customHeight="1" x14ac:dyDescent="0.2">
      <c r="A28" s="2035"/>
      <c r="B28" s="1989"/>
      <c r="C28" s="406" t="str">
        <f>F!C156</f>
        <v>&lt;10 cm deep (but &gt;0).</v>
      </c>
      <c r="D28" s="22">
        <f>F!D156</f>
        <v>0</v>
      </c>
      <c r="E28" s="220">
        <v>0</v>
      </c>
      <c r="F28" s="221">
        <f>D28*E28</f>
        <v>0</v>
      </c>
      <c r="G28" s="222"/>
      <c r="H28" s="1989"/>
      <c r="I28" s="2026"/>
    </row>
    <row r="29" spans="1:10" ht="15" customHeight="1" x14ac:dyDescent="0.2">
      <c r="A29" s="2035"/>
      <c r="B29" s="1989"/>
      <c r="C29" s="854" t="str">
        <f>F!C157</f>
        <v>10 - 50 cm deep.</v>
      </c>
      <c r="D29" s="22">
        <f>F!D157</f>
        <v>0</v>
      </c>
      <c r="E29" s="220">
        <v>1</v>
      </c>
      <c r="F29" s="221">
        <f>D29*E29</f>
        <v>0</v>
      </c>
      <c r="G29" s="223"/>
      <c r="H29" s="1989"/>
      <c r="I29" s="2026"/>
    </row>
    <row r="30" spans="1:10" ht="15" customHeight="1" x14ac:dyDescent="0.2">
      <c r="A30" s="2035"/>
      <c r="B30" s="1989"/>
      <c r="C30" s="854" t="str">
        <f>F!C158</f>
        <v>0.5 - 1 m deep.</v>
      </c>
      <c r="D30" s="22">
        <f>F!D158</f>
        <v>0</v>
      </c>
      <c r="E30" s="220">
        <v>2</v>
      </c>
      <c r="F30" s="221">
        <f>D30*E30</f>
        <v>0</v>
      </c>
      <c r="G30" s="223"/>
      <c r="H30" s="1989"/>
      <c r="I30" s="2026"/>
    </row>
    <row r="31" spans="1:10" ht="15" customHeight="1" x14ac:dyDescent="0.2">
      <c r="A31" s="2035"/>
      <c r="B31" s="1989"/>
      <c r="C31" s="854" t="str">
        <f>F!C159</f>
        <v>1 - 2 m deep.</v>
      </c>
      <c r="D31" s="22">
        <f>F!D159</f>
        <v>0</v>
      </c>
      <c r="E31" s="220">
        <v>3</v>
      </c>
      <c r="F31" s="221">
        <f>D31*E31</f>
        <v>0</v>
      </c>
      <c r="G31" s="223"/>
      <c r="H31" s="1989"/>
      <c r="I31" s="2026"/>
    </row>
    <row r="32" spans="1:10" ht="15" customHeight="1" thickBot="1" x14ac:dyDescent="0.25">
      <c r="A32" s="2035"/>
      <c r="B32" s="1989"/>
      <c r="C32" s="854" t="str">
        <f>F!C160</f>
        <v>&gt;2 m deep.  True for many fringe wetlands.</v>
      </c>
      <c r="D32" s="356">
        <f>F!D160</f>
        <v>0</v>
      </c>
      <c r="E32" s="1284">
        <v>4</v>
      </c>
      <c r="F32" s="357">
        <f>D32*E32</f>
        <v>0</v>
      </c>
      <c r="G32" s="729"/>
      <c r="H32" s="1989"/>
      <c r="I32" s="2026"/>
    </row>
    <row r="33" spans="1:10" ht="39" thickBot="1" x14ac:dyDescent="0.25">
      <c r="A33" s="2036" t="str">
        <f>F!A173</f>
        <v>F33</v>
      </c>
      <c r="B33" s="2000" t="str">
        <f>F!B173</f>
        <v xml:space="preserve">% of Ponded Water That Is Open </v>
      </c>
      <c r="C33" s="1235" t="str">
        <f>F!C173</f>
        <v>In ducks-eye aerial view, the percentage of the ponded water that is open (lacking emergent vegetation during most of the growing season, and unhidden by a forest or shrub canopy) is:</v>
      </c>
      <c r="D33" s="353"/>
      <c r="E33" s="353"/>
      <c r="F33" s="353"/>
      <c r="G33" s="225">
        <f>IF((AllSat1&gt;0),"", IF((SmallAA=1),"", MAX(F34:F39)/MAX(E34:E39)))</f>
        <v>0</v>
      </c>
      <c r="H33" s="2000" t="s">
        <v>2379</v>
      </c>
      <c r="I33" s="2000" t="s">
        <v>1031</v>
      </c>
    </row>
    <row r="34" spans="1:10" ht="30" customHeight="1" x14ac:dyDescent="0.2">
      <c r="A34" s="2035"/>
      <c r="B34" s="1989"/>
      <c r="C34" s="768" t="str">
        <f>F!C174</f>
        <v>None, or &lt;1% of the AA and largest pool occupies &lt;0.01 hectares.  Enter "1" and SKIP to F41 (Floating Algae &amp; Duckweed).</v>
      </c>
      <c r="D34" s="1597">
        <f>F!D174</f>
        <v>0</v>
      </c>
      <c r="E34" s="755">
        <v>5</v>
      </c>
      <c r="F34" s="755">
        <f t="shared" ref="F34:F39" si="2">D34*E34</f>
        <v>0</v>
      </c>
      <c r="G34" s="759"/>
      <c r="H34" s="1989"/>
      <c r="I34" s="1989"/>
    </row>
    <row r="35" spans="1:10" ht="15" customHeight="1" x14ac:dyDescent="0.2">
      <c r="A35" s="2035"/>
      <c r="B35" s="1989"/>
      <c r="C35" s="813" t="str">
        <f>F!C175</f>
        <v>1-5% of the ponded water.  Enter "1" and SKIP to F41.</v>
      </c>
      <c r="D35" s="1285">
        <f>F!D175</f>
        <v>0</v>
      </c>
      <c r="E35" s="755">
        <v>4</v>
      </c>
      <c r="F35" s="755">
        <f t="shared" si="2"/>
        <v>0</v>
      </c>
      <c r="G35" s="759"/>
      <c r="H35" s="1989"/>
      <c r="I35" s="1989"/>
    </row>
    <row r="36" spans="1:10" ht="15" customHeight="1" x14ac:dyDescent="0.2">
      <c r="A36" s="2035"/>
      <c r="B36" s="1989"/>
      <c r="C36" s="813" t="str">
        <f>F!C176</f>
        <v>5-30% of the ponded water.</v>
      </c>
      <c r="D36" s="1285">
        <f>F!D176</f>
        <v>0</v>
      </c>
      <c r="E36" s="755">
        <v>3</v>
      </c>
      <c r="F36" s="755">
        <f t="shared" si="2"/>
        <v>0</v>
      </c>
      <c r="G36" s="759"/>
      <c r="H36" s="1989"/>
      <c r="I36" s="1989"/>
    </row>
    <row r="37" spans="1:10" ht="15" customHeight="1" x14ac:dyDescent="0.2">
      <c r="A37" s="2035"/>
      <c r="B37" s="1989"/>
      <c r="C37" s="813" t="str">
        <f>F!C177</f>
        <v>30-70% of the ponded water.</v>
      </c>
      <c r="D37" s="1285">
        <f>F!D177</f>
        <v>0</v>
      </c>
      <c r="E37" s="755">
        <v>2</v>
      </c>
      <c r="F37" s="755">
        <f t="shared" si="2"/>
        <v>0</v>
      </c>
      <c r="G37" s="759"/>
      <c r="H37" s="1989"/>
      <c r="I37" s="1989"/>
    </row>
    <row r="38" spans="1:10" ht="15" customHeight="1" x14ac:dyDescent="0.2">
      <c r="A38" s="2035"/>
      <c r="B38" s="1989"/>
      <c r="C38" s="813" t="str">
        <f>F!C178</f>
        <v>70-99% of the ponded water.</v>
      </c>
      <c r="D38" s="1285">
        <f>F!D178</f>
        <v>0</v>
      </c>
      <c r="E38" s="755">
        <v>1</v>
      </c>
      <c r="F38" s="755">
        <f t="shared" si="2"/>
        <v>0</v>
      </c>
      <c r="G38" s="759"/>
      <c r="H38" s="1989"/>
      <c r="I38" s="1989"/>
    </row>
    <row r="39" spans="1:10" ht="15" customHeight="1" thickBot="1" x14ac:dyDescent="0.25">
      <c r="A39" s="2037"/>
      <c r="B39" s="1990"/>
      <c r="C39" s="340" t="str">
        <f>F!C179</f>
        <v xml:space="preserve">100% of the ponded water. </v>
      </c>
      <c r="D39" s="1286">
        <f>F!D179</f>
        <v>0</v>
      </c>
      <c r="E39" s="227">
        <v>0</v>
      </c>
      <c r="F39" s="227">
        <f t="shared" si="2"/>
        <v>0</v>
      </c>
      <c r="G39" s="228"/>
      <c r="H39" s="1990"/>
      <c r="I39" s="1990"/>
    </row>
    <row r="40" spans="1:10" ht="77.25" thickBot="1" x14ac:dyDescent="0.25">
      <c r="A40" s="2035" t="str">
        <f>F!A233</f>
        <v>F48</v>
      </c>
      <c r="B40" s="1989" t="str">
        <f>F!B233</f>
        <v>Channel Connection &amp; Outflow Duration</v>
      </c>
      <c r="C40" s="1391" t="str">
        <f>F!C233</f>
        <v>The most persistent surface water connection (outlet channel or pipe, ditch, or overbank water exchange) between the AA and the closest larger water body located downslope is: [Note: If the AA represents only part of a wetland, answer this according to whichever is the least permanent surface connection: the one between the AA and the rest of the wetland, or the surface connection between the wetland and a mapped stream or lake located within 200 m downslope from the wetland ]</v>
      </c>
      <c r="D40" s="758"/>
      <c r="E40" s="758"/>
      <c r="F40" s="218"/>
      <c r="G40" s="229">
        <f>MAX(F41:F45)/MAX(E41:E45)</f>
        <v>0</v>
      </c>
      <c r="H40" s="1989" t="s">
        <v>191</v>
      </c>
      <c r="I40" s="2024" t="s">
        <v>860</v>
      </c>
      <c r="J40" s="76"/>
    </row>
    <row r="41" spans="1:10" ht="15" customHeight="1" x14ac:dyDescent="0.2">
      <c r="A41" s="2035"/>
      <c r="B41" s="1989"/>
      <c r="C41" s="995" t="str">
        <f>F!C234</f>
        <v>persistent (&gt;9 months/year, including times when frozen).</v>
      </c>
      <c r="D41" s="443">
        <f>F!D234</f>
        <v>0</v>
      </c>
      <c r="E41" s="355">
        <v>6</v>
      </c>
      <c r="F41" s="355">
        <f>D41*E41</f>
        <v>0</v>
      </c>
      <c r="G41" s="222"/>
      <c r="H41" s="1989"/>
      <c r="I41" s="2024"/>
    </row>
    <row r="42" spans="1:10" ht="27.75" customHeight="1" x14ac:dyDescent="0.2">
      <c r="A42" s="2035"/>
      <c r="B42" s="1989"/>
      <c r="C42" s="996" t="str">
        <f>F!C235</f>
        <v>seasonal (14 days to 9 months/year, not necessarily consecutive, including times when frozen).</v>
      </c>
      <c r="D42" s="359">
        <f>F!D235</f>
        <v>0</v>
      </c>
      <c r="E42" s="355">
        <v>3</v>
      </c>
      <c r="F42" s="355">
        <f>D42*E42</f>
        <v>0</v>
      </c>
      <c r="G42" s="223"/>
      <c r="H42" s="1989"/>
      <c r="I42" s="2024"/>
    </row>
    <row r="43" spans="1:10" ht="15" customHeight="1" x14ac:dyDescent="0.2">
      <c r="A43" s="2035"/>
      <c r="B43" s="1989"/>
      <c r="C43" s="996" t="str">
        <f>F!C236</f>
        <v>temporary (&lt;14 days, not necessarily consecutive, but must be unfrozen).</v>
      </c>
      <c r="D43" s="359">
        <f>F!D236</f>
        <v>0</v>
      </c>
      <c r="E43" s="355">
        <v>2</v>
      </c>
      <c r="F43" s="355">
        <f>D43*E43</f>
        <v>0</v>
      </c>
      <c r="G43" s="223"/>
      <c r="H43" s="1989"/>
      <c r="I43" s="2024"/>
    </row>
    <row r="44" spans="1:10" ht="39.75" customHeight="1" x14ac:dyDescent="0.2">
      <c r="A44" s="2035"/>
      <c r="B44" s="1989"/>
      <c r="C44" s="996" t="str">
        <f>F!C237</f>
        <v xml:space="preserve">none -- but maps show a stream or other water body that is downslope from the AA and within a distance that is less than the AA's length.  If so, mark "1" here and SKIP TO F50 (Groundwater). </v>
      </c>
      <c r="D44" s="359">
        <f>F!D237</f>
        <v>0</v>
      </c>
      <c r="E44" s="355">
        <v>1</v>
      </c>
      <c r="F44" s="355">
        <f>D44*E44</f>
        <v>0</v>
      </c>
      <c r="G44" s="347"/>
      <c r="H44" s="1989"/>
      <c r="I44" s="2024"/>
    </row>
    <row r="45" spans="1:10" ht="42" customHeight="1" thickBot="1" x14ac:dyDescent="0.25">
      <c r="A45" s="2037"/>
      <c r="B45" s="1990"/>
      <c r="C45" s="329" t="str">
        <f>F!C238</f>
        <v xml:space="preserve">no surface water flows out of the wetland except possibly during extreme events (&lt;once per 10 years). Or, water flows only into a wetland, ditch, or lake that lacks an outlet.  If so, mark "1" here and SKIP TO F50 (Groundwater). </v>
      </c>
      <c r="D45" s="81">
        <f>F!D238</f>
        <v>0</v>
      </c>
      <c r="E45" s="227">
        <v>0</v>
      </c>
      <c r="F45" s="227">
        <f>D45*E45</f>
        <v>0</v>
      </c>
      <c r="G45" s="228"/>
      <c r="H45" s="1990"/>
      <c r="I45" s="2025"/>
    </row>
    <row r="46" spans="1:10" ht="21" customHeight="1" thickBot="1" x14ac:dyDescent="0.25">
      <c r="A46" s="2038" t="str">
        <f>F!A243</f>
        <v>F50</v>
      </c>
      <c r="B46" s="1989" t="str">
        <f>F!B243</f>
        <v>Groundwater: Strength of Evidence</v>
      </c>
      <c r="C46" s="1399" t="str">
        <f>F!C243</f>
        <v xml:space="preserve">Select first applicable choice. </v>
      </c>
      <c r="D46" s="216"/>
      <c r="E46" s="217"/>
      <c r="F46" s="218"/>
      <c r="G46" s="229">
        <f>MAX(F47:F49)/MAX(E47:E49)</f>
        <v>0</v>
      </c>
      <c r="H46" s="2000" t="s">
        <v>190</v>
      </c>
      <c r="I46" s="2024" t="s">
        <v>265</v>
      </c>
    </row>
    <row r="47" spans="1:10" ht="54" customHeight="1" x14ac:dyDescent="0.2">
      <c r="A47" s="2038"/>
      <c r="B47" s="1989"/>
      <c r="C47" s="768" t="str">
        <f>F!C244</f>
        <v xml:space="preserve">Springs are known to be present within the AA, or if groundwater levels have been monitored, that has demonstrated that groundwater primarily discharges to the wetland for longer periods during the year than periods when the wetland recharges the groundwater. 
</v>
      </c>
      <c r="D47" s="443">
        <f>F!D244</f>
        <v>0</v>
      </c>
      <c r="E47" s="221">
        <v>3</v>
      </c>
      <c r="F47" s="221">
        <f>D47*E47</f>
        <v>0</v>
      </c>
      <c r="G47" s="222"/>
      <c r="H47" s="1989"/>
      <c r="I47" s="2024"/>
    </row>
    <row r="48" spans="1:10" ht="84" customHeight="1" x14ac:dyDescent="0.2">
      <c r="A48" s="2038"/>
      <c r="B48" s="1989"/>
      <c r="C48" s="813" t="str">
        <f>F!C245</f>
        <v xml:space="preserve">If surface water is present, its pH (Q44) is &gt;5.5 AND one or more of the following are true: (a) the AA is located very close to the base of (but mostly not ON) a natural slope much steeper (usually &gt;15%) than that within the AA and longer than 100 m, OR
(b) rust deposits ("iron floc"), colored precipitates, or dispersible natural oil sheen are prevalent in the AA, OR
(c) AA is located at a geologic fault.
</v>
      </c>
      <c r="D48" s="40">
        <f>F!D245</f>
        <v>0</v>
      </c>
      <c r="E48" s="221">
        <v>2</v>
      </c>
      <c r="F48" s="221">
        <f>D48*E48</f>
        <v>0</v>
      </c>
      <c r="G48" s="223"/>
      <c r="H48" s="1989"/>
      <c r="I48" s="2024"/>
    </row>
    <row r="49" spans="1:10" ht="27" customHeight="1" thickBot="1" x14ac:dyDescent="0.25">
      <c r="A49" s="2038"/>
      <c r="B49" s="1990"/>
      <c r="C49" s="854" t="str">
        <f>F!C246</f>
        <v>Neither of above is true, although some groundwater may discharge to or flow through the AA.  Or groundwater influx is unknown.</v>
      </c>
      <c r="D49" s="356">
        <f>F!D246</f>
        <v>0</v>
      </c>
      <c r="E49" s="357">
        <v>0</v>
      </c>
      <c r="F49" s="357">
        <f>D49*E49</f>
        <v>0</v>
      </c>
      <c r="G49" s="729"/>
      <c r="H49" s="1989"/>
      <c r="I49" s="2024"/>
    </row>
    <row r="50" spans="1:10" ht="21" customHeight="1" thickBot="1" x14ac:dyDescent="0.25">
      <c r="A50" s="1598"/>
      <c r="B50" s="827"/>
      <c r="C50" s="827"/>
      <c r="D50" s="827"/>
      <c r="E50" s="827"/>
      <c r="F50" s="827"/>
      <c r="G50" s="827"/>
      <c r="H50" s="827" t="s">
        <v>406</v>
      </c>
      <c r="I50" s="827"/>
      <c r="J50" s="5"/>
    </row>
    <row r="51" spans="1:10" ht="21" customHeight="1" thickBot="1" x14ac:dyDescent="0.25">
      <c r="A51" s="1246"/>
      <c r="B51" s="940"/>
      <c r="C51" s="642" t="s">
        <v>846</v>
      </c>
      <c r="D51" s="940"/>
      <c r="E51" s="940"/>
      <c r="F51" s="940"/>
      <c r="G51" s="940"/>
      <c r="H51" s="940"/>
      <c r="I51" s="940"/>
      <c r="J51" s="6"/>
    </row>
    <row r="52" spans="1:10" ht="21" customHeight="1" thickBot="1" x14ac:dyDescent="0.25">
      <c r="A52" s="1246"/>
      <c r="B52" s="940"/>
      <c r="C52" s="1244" t="s">
        <v>526</v>
      </c>
      <c r="D52" s="1027"/>
      <c r="E52" s="1027"/>
      <c r="F52" s="1027"/>
      <c r="G52" s="1027"/>
      <c r="H52" s="940"/>
      <c r="I52" s="940"/>
      <c r="J52" s="6"/>
    </row>
    <row r="53" spans="1:10" ht="57" customHeight="1" thickBot="1" x14ac:dyDescent="0.25">
      <c r="A53" s="1246"/>
      <c r="B53" s="1553"/>
      <c r="C53" s="1303" t="s">
        <v>2425</v>
      </c>
      <c r="D53" s="1590"/>
      <c r="E53" s="293"/>
      <c r="F53" s="293"/>
      <c r="G53" s="582" t="str">
        <f>IFERROR(IF((OutNone + OutNone1&gt;0),0,  10*(AVERAGE(GWDspring, Groundw2_, Wettype2, Soil2_) + AVERAGE(1-Sub0Days, PPET, 1-WindSumm, 1-WetPerim2Area, OpenPonded2a, 1-WetVegArea) + AVERAGE(WetPctHUC8, ElevPctileHUC8, RipFloodpl) + AVERAGE(Depth2_, OutDur2_)) / 4),"")</f>
        <v/>
      </c>
      <c r="H53" s="940"/>
      <c r="I53" s="940"/>
      <c r="J53" s="6"/>
    </row>
    <row r="54" spans="1:10" ht="27.75" customHeight="1" thickBot="1" x14ac:dyDescent="0.25">
      <c r="A54" s="1246"/>
      <c r="B54" s="1553"/>
      <c r="C54" s="1464"/>
      <c r="D54" s="1553"/>
      <c r="E54" s="5"/>
      <c r="F54" s="5"/>
      <c r="G54" s="5"/>
      <c r="H54" s="940"/>
      <c r="I54" s="940"/>
      <c r="J54" s="6"/>
    </row>
    <row r="55" spans="1:10" ht="21" customHeight="1" thickBot="1" x14ac:dyDescent="0.25">
      <c r="A55" s="1246"/>
      <c r="B55" s="1553"/>
      <c r="C55" s="1464"/>
      <c r="D55" s="1553"/>
      <c r="E55" s="5"/>
      <c r="F55" s="5"/>
      <c r="G55" s="5"/>
      <c r="H55" s="5"/>
      <c r="I55" s="819" t="s">
        <v>293</v>
      </c>
    </row>
    <row r="56" spans="1:10" ht="42" customHeight="1" x14ac:dyDescent="0.2">
      <c r="A56" s="1246"/>
      <c r="B56" s="1466"/>
      <c r="C56" s="1498"/>
      <c r="D56" s="1468"/>
      <c r="E56" s="5"/>
      <c r="F56" s="5"/>
      <c r="G56" s="5"/>
      <c r="H56" s="5"/>
      <c r="I56" s="820" t="s">
        <v>1799</v>
      </c>
    </row>
    <row r="57" spans="1:10" ht="42.75" customHeight="1" x14ac:dyDescent="0.2">
      <c r="A57" s="1246"/>
      <c r="B57" s="1466"/>
      <c r="C57" s="1498"/>
      <c r="D57" s="1468"/>
      <c r="E57" s="5"/>
      <c r="F57" s="5"/>
      <c r="G57" s="5"/>
      <c r="H57" s="5"/>
      <c r="I57" s="1379" t="s">
        <v>2383</v>
      </c>
    </row>
    <row r="58" spans="1:10" ht="29.25" customHeight="1" x14ac:dyDescent="0.2">
      <c r="A58" s="1246"/>
      <c r="B58" s="1552"/>
      <c r="C58" s="1498"/>
      <c r="D58" s="1468"/>
      <c r="E58" s="5"/>
      <c r="F58" s="5"/>
      <c r="G58" s="5"/>
      <c r="H58" s="5"/>
      <c r="I58" s="1379" t="s">
        <v>1800</v>
      </c>
    </row>
    <row r="59" spans="1:10" ht="51" x14ac:dyDescent="0.2">
      <c r="A59" s="1246"/>
      <c r="B59" s="1552"/>
      <c r="C59" s="1498"/>
      <c r="D59" s="1468"/>
      <c r="E59" s="5"/>
      <c r="F59" s="5"/>
      <c r="G59" s="5"/>
      <c r="H59" s="5"/>
      <c r="I59" s="821" t="s">
        <v>1801</v>
      </c>
    </row>
    <row r="60" spans="1:10" ht="27" customHeight="1" x14ac:dyDescent="0.2">
      <c r="A60" s="1246"/>
      <c r="B60" s="1552"/>
      <c r="C60" s="1498"/>
      <c r="D60" s="1468"/>
      <c r="E60" s="5"/>
      <c r="F60" s="5"/>
      <c r="G60" s="5"/>
      <c r="H60" s="5"/>
      <c r="I60" s="818" t="s">
        <v>1088</v>
      </c>
    </row>
    <row r="61" spans="1:10" ht="66" customHeight="1" x14ac:dyDescent="0.2">
      <c r="A61" s="1246"/>
      <c r="B61" s="1552"/>
      <c r="C61" s="1498"/>
      <c r="D61" s="1468"/>
      <c r="E61" s="5"/>
      <c r="F61" s="5"/>
      <c r="G61" s="5"/>
      <c r="H61" s="5"/>
      <c r="I61" s="818" t="s">
        <v>1325</v>
      </c>
    </row>
    <row r="62" spans="1:10" ht="57" customHeight="1" x14ac:dyDescent="0.2">
      <c r="A62" s="1246"/>
      <c r="B62" s="2004"/>
      <c r="C62" s="2004"/>
      <c r="D62" s="2004"/>
      <c r="E62" s="5"/>
      <c r="F62" s="5"/>
      <c r="G62" s="5"/>
      <c r="H62" s="5"/>
      <c r="I62" s="822" t="s">
        <v>1793</v>
      </c>
    </row>
    <row r="63" spans="1:10" ht="28.5" customHeight="1" x14ac:dyDescent="0.2">
      <c r="A63" s="1246"/>
      <c r="B63" s="1553"/>
      <c r="C63" s="1496"/>
      <c r="D63" s="1553"/>
      <c r="E63" s="5"/>
      <c r="F63" s="5"/>
      <c r="G63" s="5"/>
      <c r="H63" s="5"/>
      <c r="I63" s="823" t="s">
        <v>1802</v>
      </c>
    </row>
    <row r="64" spans="1:10" ht="42" customHeight="1" thickBot="1" x14ac:dyDescent="0.25">
      <c r="A64" s="1246"/>
      <c r="B64" s="1466"/>
      <c r="C64" s="1498"/>
      <c r="D64" s="1599"/>
      <c r="E64" s="5"/>
      <c r="F64" s="5"/>
      <c r="G64" s="5"/>
      <c r="H64" s="5"/>
      <c r="I64" s="571" t="s">
        <v>1803</v>
      </c>
    </row>
    <row r="65" spans="1:48" ht="30" customHeight="1" x14ac:dyDescent="0.2">
      <c r="A65" s="1246"/>
      <c r="B65" s="1466"/>
      <c r="C65" s="1498"/>
      <c r="D65" s="1468"/>
      <c r="E65" s="5"/>
      <c r="F65" s="5"/>
      <c r="G65" s="5"/>
      <c r="H65" s="5"/>
    </row>
    <row r="66" spans="1:48" ht="30" customHeight="1" x14ac:dyDescent="0.2">
      <c r="A66" s="1246"/>
      <c r="B66" s="1552"/>
      <c r="C66" s="1498"/>
      <c r="D66" s="1468"/>
      <c r="E66" s="5"/>
      <c r="F66" s="5"/>
      <c r="G66" s="5"/>
      <c r="H66" s="5"/>
    </row>
    <row r="67" spans="1:48" ht="30" customHeight="1" x14ac:dyDescent="0.2">
      <c r="A67" s="1246"/>
      <c r="B67" s="1552"/>
      <c r="C67" s="1498"/>
      <c r="D67" s="1468"/>
      <c r="E67" s="5"/>
      <c r="F67" s="5"/>
      <c r="G67" s="5"/>
      <c r="H67" s="5"/>
    </row>
    <row r="68" spans="1:48" ht="30" customHeight="1" x14ac:dyDescent="0.2">
      <c r="A68" s="1246"/>
      <c r="B68" s="1552"/>
      <c r="C68" s="1498"/>
      <c r="D68" s="1468"/>
      <c r="E68" s="5"/>
      <c r="F68" s="5"/>
      <c r="G68" s="5"/>
      <c r="H68" s="5"/>
    </row>
    <row r="69" spans="1:48" ht="30" customHeight="1" x14ac:dyDescent="0.2">
      <c r="A69" s="1246"/>
      <c r="B69" s="1552"/>
      <c r="C69" s="1498"/>
      <c r="D69" s="1468"/>
      <c r="E69" s="5"/>
      <c r="F69" s="5"/>
      <c r="G69" s="5"/>
      <c r="H69" s="5"/>
    </row>
    <row r="70" spans="1:48" s="214" customFormat="1" ht="21" customHeight="1" x14ac:dyDescent="0.2">
      <c r="A70" s="940"/>
      <c r="B70" s="940"/>
      <c r="C70" s="940"/>
      <c r="D70" s="940"/>
      <c r="E70" s="940"/>
      <c r="F70" s="940"/>
      <c r="G70" s="940"/>
      <c r="H70" s="940"/>
      <c r="I70" s="940"/>
      <c r="J70" s="79"/>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row>
    <row r="71" spans="1:48" s="214" customFormat="1" ht="42" customHeight="1" x14ac:dyDescent="0.2">
      <c r="A71" s="940"/>
      <c r="B71" s="940"/>
      <c r="C71" s="940"/>
      <c r="D71" s="940"/>
      <c r="E71" s="940"/>
      <c r="F71" s="940"/>
      <c r="G71" s="940"/>
      <c r="H71" s="940"/>
      <c r="I71" s="940"/>
      <c r="J71" s="79"/>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row>
    <row r="72" spans="1:48" s="214" customFormat="1" ht="27" customHeight="1" x14ac:dyDescent="0.2">
      <c r="A72" s="940"/>
      <c r="B72" s="940"/>
      <c r="C72" s="940"/>
      <c r="D72" s="940"/>
      <c r="E72" s="940"/>
      <c r="F72" s="940"/>
      <c r="G72" s="940"/>
      <c r="H72" s="940"/>
      <c r="I72" s="940"/>
      <c r="J72" s="79"/>
      <c r="K72" s="940"/>
      <c r="L72" s="940"/>
      <c r="M72" s="940"/>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0"/>
      <c r="AK72" s="940"/>
      <c r="AL72" s="940"/>
      <c r="AM72" s="940"/>
      <c r="AN72" s="940"/>
      <c r="AO72" s="940"/>
      <c r="AP72" s="940"/>
      <c r="AQ72" s="940"/>
      <c r="AR72" s="940"/>
      <c r="AS72" s="940"/>
      <c r="AT72" s="940"/>
      <c r="AU72" s="940"/>
      <c r="AV72" s="940"/>
    </row>
    <row r="73" spans="1:48" s="214" customFormat="1" ht="27.6" customHeight="1" x14ac:dyDescent="0.2">
      <c r="A73" s="940"/>
      <c r="B73" s="940"/>
      <c r="C73" s="940"/>
      <c r="D73" s="940"/>
      <c r="E73" s="940"/>
      <c r="F73" s="940"/>
      <c r="G73" s="940"/>
      <c r="H73" s="940"/>
      <c r="I73" s="940"/>
      <c r="J73" s="79"/>
      <c r="K73" s="940"/>
      <c r="L73" s="940"/>
      <c r="M73" s="940"/>
      <c r="N73" s="940"/>
      <c r="O73" s="940"/>
      <c r="P73" s="940"/>
      <c r="Q73" s="940"/>
      <c r="R73" s="940"/>
      <c r="S73" s="940"/>
      <c r="T73" s="940"/>
      <c r="U73" s="940"/>
      <c r="V73" s="940"/>
      <c r="W73" s="940"/>
      <c r="X73" s="940"/>
      <c r="Y73" s="940"/>
      <c r="Z73" s="940"/>
      <c r="AA73" s="940"/>
      <c r="AB73" s="940"/>
      <c r="AC73" s="940"/>
      <c r="AD73" s="940"/>
      <c r="AE73" s="940"/>
      <c r="AF73" s="940"/>
      <c r="AG73" s="940"/>
      <c r="AH73" s="940"/>
      <c r="AI73" s="940"/>
      <c r="AJ73" s="940"/>
      <c r="AK73" s="940"/>
      <c r="AL73" s="940"/>
      <c r="AM73" s="940"/>
      <c r="AN73" s="940"/>
      <c r="AO73" s="940"/>
      <c r="AP73" s="940"/>
      <c r="AQ73" s="940"/>
      <c r="AR73" s="940"/>
      <c r="AS73" s="940"/>
      <c r="AT73" s="940"/>
      <c r="AU73" s="940"/>
      <c r="AV73" s="940"/>
    </row>
    <row r="74" spans="1:48" s="214" customFormat="1" ht="27" customHeight="1" x14ac:dyDescent="0.2">
      <c r="A74" s="940"/>
      <c r="B74" s="940"/>
      <c r="C74" s="940"/>
      <c r="D74" s="940"/>
      <c r="E74" s="940"/>
      <c r="F74" s="940"/>
      <c r="G74" s="940"/>
      <c r="H74" s="940"/>
      <c r="I74" s="940"/>
      <c r="J74" s="79"/>
      <c r="K74" s="940"/>
      <c r="L74" s="940"/>
      <c r="M74" s="940"/>
      <c r="N74" s="940"/>
      <c r="O74" s="940"/>
      <c r="P74" s="940"/>
      <c r="Q74" s="940"/>
      <c r="R74" s="940"/>
      <c r="S74" s="940"/>
      <c r="T74" s="940"/>
      <c r="U74" s="940"/>
      <c r="V74" s="940"/>
      <c r="W74" s="940"/>
      <c r="X74" s="940"/>
      <c r="Y74" s="940"/>
      <c r="Z74" s="940"/>
      <c r="AA74" s="940"/>
      <c r="AB74" s="940"/>
      <c r="AC74" s="940"/>
      <c r="AD74" s="940"/>
      <c r="AE74" s="940"/>
      <c r="AF74" s="940"/>
      <c r="AG74" s="940"/>
      <c r="AH74" s="940"/>
      <c r="AI74" s="940"/>
      <c r="AJ74" s="940"/>
      <c r="AK74" s="940"/>
      <c r="AL74" s="940"/>
      <c r="AM74" s="940"/>
      <c r="AN74" s="940"/>
      <c r="AO74" s="940"/>
      <c r="AP74" s="940"/>
      <c r="AQ74" s="940"/>
      <c r="AR74" s="940"/>
      <c r="AS74" s="940"/>
      <c r="AT74" s="940"/>
      <c r="AU74" s="940"/>
      <c r="AV74" s="940"/>
    </row>
    <row r="75" spans="1:48" ht="21" customHeight="1" x14ac:dyDescent="0.2">
      <c r="A75" s="136"/>
      <c r="B75" s="136"/>
      <c r="D75" s="573"/>
      <c r="E75" s="573"/>
      <c r="F75" s="573"/>
      <c r="G75" s="230"/>
      <c r="H75" s="5"/>
      <c r="J75" s="5"/>
    </row>
    <row r="76" spans="1:48" ht="21" customHeight="1" x14ac:dyDescent="0.2">
      <c r="A76" s="136"/>
      <c r="B76" s="136"/>
      <c r="D76" s="573"/>
      <c r="E76" s="573"/>
      <c r="F76" s="573"/>
      <c r="G76" s="230"/>
      <c r="H76" s="5"/>
      <c r="J76" s="5"/>
    </row>
    <row r="77" spans="1:48" ht="21" customHeight="1" x14ac:dyDescent="0.2"/>
    <row r="78" spans="1:48" ht="21" customHeight="1" x14ac:dyDescent="0.2"/>
    <row r="79" spans="1:48" ht="21" customHeight="1" x14ac:dyDescent="0.2"/>
    <row r="80" spans="1:48" ht="21" customHeight="1" x14ac:dyDescent="0.2">
      <c r="C80" s="940"/>
    </row>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100" spans="7:7" x14ac:dyDescent="0.2">
      <c r="G100" s="179" t="s">
        <v>1117</v>
      </c>
    </row>
  </sheetData>
  <sheetProtection password="C4B9" sheet="1" objects="1" scenarios="1"/>
  <sortState ref="A3:AV16">
    <sortCondition ref="H3:H16"/>
  </sortState>
  <mergeCells count="27">
    <mergeCell ref="A33:A39"/>
    <mergeCell ref="H33:H39"/>
    <mergeCell ref="B62:D62"/>
    <mergeCell ref="B40:B45"/>
    <mergeCell ref="A46:A49"/>
    <mergeCell ref="A40:A45"/>
    <mergeCell ref="B46:B49"/>
    <mergeCell ref="E1:H1"/>
    <mergeCell ref="A1:B1"/>
    <mergeCell ref="A27:A32"/>
    <mergeCell ref="H27:H32"/>
    <mergeCell ref="H13:H19"/>
    <mergeCell ref="A13:A19"/>
    <mergeCell ref="A20:A26"/>
    <mergeCell ref="B13:B19"/>
    <mergeCell ref="I13:I19"/>
    <mergeCell ref="I40:I45"/>
    <mergeCell ref="I46:I49"/>
    <mergeCell ref="B27:B32"/>
    <mergeCell ref="I27:I32"/>
    <mergeCell ref="H20:H26"/>
    <mergeCell ref="H46:H49"/>
    <mergeCell ref="H40:H45"/>
    <mergeCell ref="I20:I26"/>
    <mergeCell ref="B20:B26"/>
    <mergeCell ref="B33:B39"/>
    <mergeCell ref="I33:I39"/>
  </mergeCells>
  <phoneticPr fontId="37" type="noConversion"/>
  <conditionalFormatting sqref="D48:D49 D53 D15:D16 D18:D22 D26:D32 D34:D46">
    <cfRule type="cellIs" dxfId="11" priority="1" operator="greaterThan">
      <formula>0</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90"/>
  <sheetViews>
    <sheetView zoomScaleNormal="100" workbookViewId="0">
      <selection activeCell="C11" sqref="C11"/>
    </sheetView>
  </sheetViews>
  <sheetFormatPr defaultColWidth="9.33203125" defaultRowHeight="16.5" x14ac:dyDescent="0.2"/>
  <cols>
    <col min="1" max="1" width="5.83203125" style="25" customWidth="1"/>
    <col min="2" max="2" width="18.83203125" style="19" customWidth="1"/>
    <col min="3" max="3" width="69.83203125" style="5" customWidth="1"/>
    <col min="4" max="6" width="6.83203125" style="249" customWidth="1"/>
    <col min="7" max="7" width="12.33203125" style="250" customWidth="1"/>
    <col min="8" max="8" width="16.1640625" style="137" customWidth="1"/>
    <col min="9" max="9" width="67.83203125" style="39" customWidth="1"/>
    <col min="10" max="10" width="9.33203125" style="143"/>
    <col min="11" max="11" width="50.5" style="11" customWidth="1"/>
    <col min="12" max="12" width="9.33203125" style="11"/>
    <col min="13" max="13" width="54.1640625" style="11" customWidth="1"/>
    <col min="14" max="16384" width="9.33203125" style="11"/>
  </cols>
  <sheetData>
    <row r="1" spans="1:11" ht="77.25" thickBot="1" x14ac:dyDescent="0.25">
      <c r="A1" s="1976" t="s">
        <v>1752</v>
      </c>
      <c r="B1" s="1977"/>
      <c r="C1" s="59" t="s">
        <v>707</v>
      </c>
      <c r="D1" s="73" t="s">
        <v>506</v>
      </c>
      <c r="E1" s="2043"/>
      <c r="F1" s="2044"/>
      <c r="G1" s="2044"/>
      <c r="H1" s="2045"/>
      <c r="I1" s="43" t="s">
        <v>881</v>
      </c>
    </row>
    <row r="2" spans="1:11" s="334" customFormat="1" ht="50.25" thickBot="1" x14ac:dyDescent="0.25">
      <c r="A2" s="1008" t="s">
        <v>78</v>
      </c>
      <c r="B2" s="1009" t="s">
        <v>701</v>
      </c>
      <c r="C2" s="1010" t="s">
        <v>866</v>
      </c>
      <c r="D2" s="1008"/>
      <c r="E2" s="1011"/>
      <c r="F2" s="1012"/>
      <c r="G2" s="1013" t="s">
        <v>710</v>
      </c>
      <c r="H2" s="1009" t="s">
        <v>2028</v>
      </c>
      <c r="I2" s="1009" t="s">
        <v>255</v>
      </c>
    </row>
    <row r="3" spans="1:11" s="1325" customFormat="1" ht="30" customHeight="1" thickBot="1" x14ac:dyDescent="0.25">
      <c r="A3" s="322" t="str">
        <f>OF!A4</f>
        <v>OF3</v>
      </c>
      <c r="B3" s="323" t="str">
        <f>OF!C4</f>
        <v>Channel Connection</v>
      </c>
      <c r="C3" s="410"/>
      <c r="D3" s="411"/>
      <c r="E3" s="335"/>
      <c r="F3" s="335"/>
      <c r="G3" s="344" t="s">
        <v>406</v>
      </c>
      <c r="H3" s="350" t="s">
        <v>845</v>
      </c>
      <c r="I3" s="379" t="s">
        <v>1028</v>
      </c>
      <c r="J3" s="1600"/>
    </row>
    <row r="4" spans="1:11" s="1325" customFormat="1" ht="51.75" thickBot="1" x14ac:dyDescent="0.25">
      <c r="A4" s="1601" t="str">
        <f>OF!A10</f>
        <v>OF9</v>
      </c>
      <c r="B4" s="1602" t="str">
        <f>OF!B10</f>
        <v>ElevPctileHUC8</v>
      </c>
      <c r="C4" s="1602"/>
      <c r="D4" s="1259"/>
      <c r="E4" s="1260"/>
      <c r="F4" s="1260"/>
      <c r="G4" s="1603"/>
      <c r="H4" s="1604" t="s">
        <v>670</v>
      </c>
      <c r="I4" s="1605" t="s">
        <v>2385</v>
      </c>
      <c r="J4" s="1600"/>
    </row>
    <row r="5" spans="1:11" s="1325" customFormat="1" ht="45" customHeight="1" thickBot="1" x14ac:dyDescent="0.25">
      <c r="A5" s="322" t="str">
        <f>OF!A17</f>
        <v>OF16</v>
      </c>
      <c r="B5" s="323" t="str">
        <f>OF!C17</f>
        <v>Groundwater Discharge Area or Spring</v>
      </c>
      <c r="C5" s="412"/>
      <c r="D5" s="324"/>
      <c r="E5" s="325"/>
      <c r="F5" s="325"/>
      <c r="G5" s="345" t="str">
        <f>IF((GWDspring=""),"",GWDspring)</f>
        <v/>
      </c>
      <c r="H5" s="351" t="s">
        <v>668</v>
      </c>
      <c r="I5" s="403" t="s">
        <v>75</v>
      </c>
      <c r="J5" s="1600"/>
      <c r="K5" s="1332"/>
    </row>
    <row r="6" spans="1:11" s="1325" customFormat="1" ht="26.25" thickBot="1" x14ac:dyDescent="0.25">
      <c r="A6" s="317" t="str">
        <f>OF!A34</f>
        <v>OF33</v>
      </c>
      <c r="B6" s="864" t="str">
        <f>OF!C34</f>
        <v>Riparian or Floodway Location</v>
      </c>
      <c r="C6" s="870"/>
      <c r="D6" s="414"/>
      <c r="E6" s="765"/>
      <c r="F6" s="865"/>
      <c r="G6" s="1103" t="str">
        <f>IF((RipFloodpl=""),"",RipFloodpl)</f>
        <v/>
      </c>
      <c r="H6" s="867" t="s">
        <v>697</v>
      </c>
      <c r="I6" s="319" t="s">
        <v>1029</v>
      </c>
      <c r="J6" s="1600"/>
    </row>
    <row r="7" spans="1:11" s="1007" customFormat="1" ht="66.75" thickBot="1" x14ac:dyDescent="0.35">
      <c r="A7" s="997" t="s">
        <v>78</v>
      </c>
      <c r="B7" s="998" t="s">
        <v>709</v>
      </c>
      <c r="C7" s="999" t="s">
        <v>708</v>
      </c>
      <c r="D7" s="1000" t="s">
        <v>33</v>
      </c>
      <c r="E7" s="1001" t="s">
        <v>1131</v>
      </c>
      <c r="F7" s="1002" t="s">
        <v>1130</v>
      </c>
      <c r="G7" s="1003" t="s">
        <v>710</v>
      </c>
      <c r="H7" s="1004" t="s">
        <v>2028</v>
      </c>
      <c r="I7" s="1005" t="s">
        <v>917</v>
      </c>
      <c r="J7" s="1006"/>
    </row>
    <row r="8" spans="1:11" ht="17.25" thickBot="1" x14ac:dyDescent="0.25">
      <c r="A8" s="2036" t="str">
        <f>F!A5</f>
        <v>F1</v>
      </c>
      <c r="B8" s="1867" t="str">
        <f>F!B5</f>
        <v>Wetland Type - Predominant</v>
      </c>
      <c r="C8" s="769" t="str">
        <f>F!C5</f>
        <v>Follow the key below and mark the ONE row that best describes MOST of the AA:</v>
      </c>
      <c r="D8" s="255"/>
      <c r="E8" s="368"/>
      <c r="F8" s="368"/>
      <c r="G8" s="232">
        <f>MAX(F9:F14)/MAX(E9:E14)</f>
        <v>0</v>
      </c>
      <c r="H8" s="1910" t="s">
        <v>643</v>
      </c>
      <c r="I8" s="2011" t="s">
        <v>2386</v>
      </c>
    </row>
    <row r="9" spans="1:11" ht="38.25" x14ac:dyDescent="0.2">
      <c r="A9" s="2035"/>
      <c r="B9" s="1991"/>
      <c r="C9" s="1015" t="str">
        <f>F!C6</f>
        <v>A. Moss and/or lichen cover more than 25% of the ground. Substrate is mostly undecomposed peat. Choose between A1 and A2 and mark the choice with a 1 in their adjoining column. Otherwise go to B below.</v>
      </c>
      <c r="D9" s="236"/>
      <c r="E9" s="236"/>
      <c r="F9" s="236"/>
      <c r="G9" s="236"/>
      <c r="H9" s="1881"/>
      <c r="I9" s="2040"/>
    </row>
    <row r="10" spans="1:11" ht="89.25" x14ac:dyDescent="0.2">
      <c r="A10" s="2035"/>
      <c r="B10" s="1991"/>
      <c r="C10" s="738" t="str">
        <f>F!C7</f>
        <v xml:space="preserve">   A1. Surface water is usually absent or, if present, pH is typically &lt;4.5 and conductivity is &lt;100 µS/cm (about 64 ppm TDS).  Often dominated by ericaceous shrubs (e.g., Labrador tea, lingonberry), sometimes with pitcher plant, sundew. Sedge cover usually sparse or absent. Trees, if present, are mainly limited to black spruce.  Wetland surface is never sloping, except sometimes from wetland center towards outer edges (convex), and surrounding landscape is flat.  Inlet and outlet channels are usually absent.</v>
      </c>
      <c r="D10" s="737">
        <f>F!D7</f>
        <v>0</v>
      </c>
      <c r="E10" s="1310">
        <v>0</v>
      </c>
      <c r="F10" s="305">
        <f t="shared" ref="F10:F14" si="0">D10*E10</f>
        <v>0</v>
      </c>
      <c r="G10" s="760"/>
      <c r="H10" s="1881"/>
      <c r="I10" s="2040"/>
    </row>
    <row r="11" spans="1:11" ht="63.75" x14ac:dyDescent="0.2">
      <c r="A11" s="2035"/>
      <c r="B11" s="1991"/>
      <c r="C11" s="738" t="str">
        <f>F!C8</f>
        <v xml:space="preserve">   A2. Not A1. Surface water, if present, has pH typically &gt;4.5 and conductivity is &gt;100 µS/cm.  Sedges and/or cottongrass often dominate the ground cover, while ericaceous shrubs and black spruce may also be present. Sometimes at toe of slope or edge of water body. An exit channel is usually present. Wetter than A1, often with many small persistent pools.</v>
      </c>
      <c r="D11" s="737">
        <f>F!D8</f>
        <v>0</v>
      </c>
      <c r="E11" s="1310">
        <v>2</v>
      </c>
      <c r="F11" s="305">
        <f t="shared" si="0"/>
        <v>0</v>
      </c>
      <c r="G11" s="760"/>
      <c r="H11" s="1881"/>
      <c r="I11" s="2040"/>
    </row>
    <row r="12" spans="1:11" ht="38.25" x14ac:dyDescent="0.2">
      <c r="A12" s="2035"/>
      <c r="B12" s="1991"/>
      <c r="C12" s="738" t="str">
        <f>F!C9</f>
        <v>B. Moss and/or lichen cover less than 25% of the ground. Soil is mineral or decomposed organic (muck). Choose between B1 and B2 and mark the choice with a 1 in their adjoining column:</v>
      </c>
      <c r="D12" s="236"/>
      <c r="E12" s="236"/>
      <c r="F12" s="236"/>
      <c r="G12" s="760"/>
      <c r="H12" s="1881"/>
      <c r="I12" s="2040"/>
    </row>
    <row r="13" spans="1:11" ht="51" x14ac:dyDescent="0.2">
      <c r="A13" s="2035"/>
      <c r="B13" s="1991"/>
      <c r="C13" s="738" t="str">
        <f>F!C10</f>
        <v xml:space="preserve">   B1. Trees and shrubs taller than 1 m comprise more than 25% of the vegetated cover. Surface water is mostly absent or inundates the vegetation only seasonally (e.g., snowmelt pools or floodplain).  Often in riparian settings, abandoned beaver flowages.</v>
      </c>
      <c r="D13" s="737">
        <f>F!D10</f>
        <v>0</v>
      </c>
      <c r="E13" s="1310">
        <v>1</v>
      </c>
      <c r="F13" s="305">
        <f t="shared" si="0"/>
        <v>0</v>
      </c>
      <c r="G13" s="760"/>
      <c r="H13" s="1881"/>
      <c r="I13" s="2040"/>
    </row>
    <row r="14" spans="1:11" ht="71.25" customHeight="1" thickBot="1" x14ac:dyDescent="0.25">
      <c r="A14" s="2035"/>
      <c r="B14" s="1991"/>
      <c r="C14" s="738" t="str">
        <f>F!C11</f>
        <v xml:space="preserve">   B2. Not B1.  Tree &amp; tall shrubs taller than 1 m comprise less than 25% of the vegetated cover. Vegetation is mostly herbaceous, e.g., cattail, bulrush, burreed, pond lily, horsetail.  Often in depressions (potholes, created ponds), or along lakes and rivers, or where fill has blocked water movement causing prolonged flooding of wetlands formerly covered by moss.  Surface water often fluctuates widely among seasons and years.</v>
      </c>
      <c r="D14" s="737">
        <f>F!D11</f>
        <v>0</v>
      </c>
      <c r="E14" s="1310">
        <v>1</v>
      </c>
      <c r="F14" s="305">
        <f t="shared" si="0"/>
        <v>0</v>
      </c>
      <c r="G14" s="760"/>
      <c r="H14" s="1881"/>
      <c r="I14" s="2040"/>
    </row>
    <row r="15" spans="1:11" s="5" customFormat="1" ht="39" thickBot="1" x14ac:dyDescent="0.25">
      <c r="A15" s="1992" t="str">
        <f>F!A121</f>
        <v>F22</v>
      </c>
      <c r="B15" s="1867" t="str">
        <f>F!B121</f>
        <v>% Never With Surface Water</v>
      </c>
      <c r="C15" s="90" t="str">
        <f>F!C121</f>
        <v>The percentage of the AA that never contains surface water during an average year (that is, except perhaps for a few hours after snowmelt or rainstorms), but which is still a wetland, is:</v>
      </c>
      <c r="D15" s="770"/>
      <c r="E15" s="756"/>
      <c r="F15" s="353"/>
      <c r="G15" s="232">
        <f>MAX(F16:F20)/MAX(E16:E20)</f>
        <v>0</v>
      </c>
      <c r="H15" s="2000" t="s">
        <v>288</v>
      </c>
      <c r="I15" s="2011" t="s">
        <v>289</v>
      </c>
      <c r="J15" s="130"/>
    </row>
    <row r="16" spans="1:11" s="5" customFormat="1" ht="38.25" x14ac:dyDescent="0.2">
      <c r="A16" s="1991"/>
      <c r="B16" s="1911"/>
      <c r="C16" s="360" t="str">
        <f>F!C122</f>
        <v>&lt;0.01 hectare (about 10 m on a side) and &lt;1% of the AA never has surface water.  In other words, all or nearly all of the AA is covered by water permanently or at least seasonally.</v>
      </c>
      <c r="D16" s="370">
        <f>F!D122</f>
        <v>0</v>
      </c>
      <c r="E16" s="754">
        <v>0</v>
      </c>
      <c r="F16" s="771">
        <f>D16*E16</f>
        <v>0</v>
      </c>
      <c r="G16" s="759"/>
      <c r="H16" s="1989"/>
      <c r="I16" s="2040"/>
      <c r="J16" s="130"/>
    </row>
    <row r="17" spans="1:10" s="5" customFormat="1" ht="15" customHeight="1" x14ac:dyDescent="0.2">
      <c r="A17" s="1991"/>
      <c r="B17" s="1911"/>
      <c r="C17" s="747" t="str">
        <f>F!C123</f>
        <v>1-25% of the AA never contains surface water.</v>
      </c>
      <c r="D17" s="370">
        <f>F!D123</f>
        <v>0</v>
      </c>
      <c r="E17" s="754">
        <v>1</v>
      </c>
      <c r="F17" s="771">
        <f>D17*E17</f>
        <v>0</v>
      </c>
      <c r="G17" s="759"/>
      <c r="H17" s="1989"/>
      <c r="I17" s="2040"/>
      <c r="J17" s="130"/>
    </row>
    <row r="18" spans="1:10" s="5" customFormat="1" ht="15" customHeight="1" x14ac:dyDescent="0.2">
      <c r="A18" s="1991"/>
      <c r="B18" s="1911"/>
      <c r="C18" s="747" t="str">
        <f>F!C124</f>
        <v>25-50% of the AA never contains surface water.</v>
      </c>
      <c r="D18" s="370">
        <f>F!D124</f>
        <v>0</v>
      </c>
      <c r="E18" s="754">
        <v>2</v>
      </c>
      <c r="F18" s="771">
        <f>D18*E18</f>
        <v>0</v>
      </c>
      <c r="G18" s="759"/>
      <c r="H18" s="1989"/>
      <c r="I18" s="2040"/>
      <c r="J18" s="130"/>
    </row>
    <row r="19" spans="1:10" s="5" customFormat="1" ht="15" customHeight="1" x14ac:dyDescent="0.2">
      <c r="A19" s="1991"/>
      <c r="B19" s="1911"/>
      <c r="C19" s="747" t="str">
        <f>F!C125</f>
        <v>50-99% of the AA never contains surface water.</v>
      </c>
      <c r="D19" s="370">
        <f>F!D125</f>
        <v>0</v>
      </c>
      <c r="E19" s="754">
        <v>3</v>
      </c>
      <c r="F19" s="771">
        <f>D19*E19</f>
        <v>0</v>
      </c>
      <c r="G19" s="759"/>
      <c r="H19" s="1989"/>
      <c r="I19" s="2040"/>
      <c r="J19" s="130"/>
    </row>
    <row r="20" spans="1:10" s="5" customFormat="1" ht="39" thickBot="1" x14ac:dyDescent="0.25">
      <c r="A20" s="1993"/>
      <c r="B20" s="1978"/>
      <c r="C20" s="82" t="str">
        <f>F!C126</f>
        <v>&gt;99% of the AA never contains surface water, except perhaps for water flowing in channels and/or in pools that occupy &lt;1% of the AA. SKIP to F48 (Channel Connection &amp; Outflow Duration).</v>
      </c>
      <c r="D20" s="94">
        <f>F!D126</f>
        <v>0</v>
      </c>
      <c r="E20" s="226">
        <v>4</v>
      </c>
      <c r="F20" s="371">
        <f>D20*E20</f>
        <v>0</v>
      </c>
      <c r="G20" s="228"/>
      <c r="H20" s="1990"/>
      <c r="I20" s="2041"/>
      <c r="J20" s="130"/>
    </row>
    <row r="21" spans="1:10" s="13" customFormat="1" ht="30" customHeight="1" thickBot="1" x14ac:dyDescent="0.25">
      <c r="A21" s="2035" t="str">
        <f>F!A134</f>
        <v>F24</v>
      </c>
      <c r="B21" s="1911" t="str">
        <f>F!B134</f>
        <v>% of Summertime Water That Is Shaded</v>
      </c>
      <c r="C21" s="1391" t="str">
        <f>F!C134</f>
        <v>At mid-day during the warmest time of year, the area of surface water within the AA that is shaded by vegetation and other features that are within the AA at that time is:</v>
      </c>
      <c r="D21" s="736"/>
      <c r="E21" s="206"/>
      <c r="F21" s="240"/>
      <c r="G21" s="231">
        <f>IF((AllSat1&gt;0),"",IF((NoPersis=1),"",(MAX(F22:F26)/MAX(E22:E26))))</f>
        <v>0</v>
      </c>
      <c r="H21" s="1881" t="s">
        <v>194</v>
      </c>
      <c r="I21" s="2040" t="s">
        <v>2387</v>
      </c>
      <c r="J21" s="144"/>
    </row>
    <row r="22" spans="1:10" s="13" customFormat="1" ht="15" customHeight="1" x14ac:dyDescent="0.2">
      <c r="A22" s="2035"/>
      <c r="B22" s="1911"/>
      <c r="C22" s="341" t="str">
        <f>F!C135</f>
        <v>&lt;5% of the water is shaded, or no surface water is present then.</v>
      </c>
      <c r="D22" s="359">
        <f>F!D135</f>
        <v>0</v>
      </c>
      <c r="E22" s="369">
        <v>0</v>
      </c>
      <c r="F22" s="369">
        <f>D22*E22</f>
        <v>0</v>
      </c>
      <c r="G22" s="235"/>
      <c r="H22" s="1881"/>
      <c r="I22" s="2040"/>
      <c r="J22" s="144"/>
    </row>
    <row r="23" spans="1:10" s="13" customFormat="1" ht="15" customHeight="1" x14ac:dyDescent="0.2">
      <c r="A23" s="2035"/>
      <c r="B23" s="1911"/>
      <c r="C23" s="328" t="str">
        <f>F!C136</f>
        <v>5-25% of the water is shaded.</v>
      </c>
      <c r="D23" s="359">
        <f>F!D136</f>
        <v>0</v>
      </c>
      <c r="E23" s="369">
        <v>1</v>
      </c>
      <c r="F23" s="369">
        <f>D23*E23</f>
        <v>0</v>
      </c>
      <c r="G23" s="236"/>
      <c r="H23" s="1881"/>
      <c r="I23" s="2040"/>
      <c r="J23" s="144"/>
    </row>
    <row r="24" spans="1:10" s="13" customFormat="1" ht="15" customHeight="1" x14ac:dyDescent="0.2">
      <c r="A24" s="2035"/>
      <c r="B24" s="1911"/>
      <c r="C24" s="328" t="str">
        <f>F!C137</f>
        <v>25-50% of the water is shaded.</v>
      </c>
      <c r="D24" s="359">
        <f>F!D137</f>
        <v>0</v>
      </c>
      <c r="E24" s="369">
        <v>2</v>
      </c>
      <c r="F24" s="369">
        <f>D24*E24</f>
        <v>0</v>
      </c>
      <c r="G24" s="236"/>
      <c r="H24" s="1881"/>
      <c r="I24" s="2040"/>
      <c r="J24" s="144"/>
    </row>
    <row r="25" spans="1:10" s="13" customFormat="1" ht="15" customHeight="1" x14ac:dyDescent="0.2">
      <c r="A25" s="2035"/>
      <c r="B25" s="1911"/>
      <c r="C25" s="328" t="str">
        <f>F!C138</f>
        <v>50-75% of the water is shaded.</v>
      </c>
      <c r="D25" s="359">
        <f>F!D138</f>
        <v>0</v>
      </c>
      <c r="E25" s="369">
        <v>3</v>
      </c>
      <c r="F25" s="369">
        <f>D25*E25</f>
        <v>0</v>
      </c>
      <c r="G25" s="236"/>
      <c r="H25" s="1881"/>
      <c r="I25" s="2040"/>
      <c r="J25" s="144"/>
    </row>
    <row r="26" spans="1:10" s="13" customFormat="1" ht="28.5" customHeight="1" thickBot="1" x14ac:dyDescent="0.25">
      <c r="A26" s="2035"/>
      <c r="B26" s="1911"/>
      <c r="C26" s="366" t="str">
        <f>F!C139</f>
        <v>&gt;75% of the water is shaded.</v>
      </c>
      <c r="D26" s="356">
        <f>F!D139</f>
        <v>0</v>
      </c>
      <c r="E26" s="305">
        <v>4</v>
      </c>
      <c r="F26" s="305">
        <f>D26*E26</f>
        <v>0</v>
      </c>
      <c r="G26" s="367"/>
      <c r="H26" s="1882"/>
      <c r="I26" s="2040"/>
      <c r="J26" s="144"/>
    </row>
    <row r="27" spans="1:10" ht="54" customHeight="1" thickBot="1" x14ac:dyDescent="0.25">
      <c r="A27" s="2036" t="str">
        <f>F!A155</f>
        <v>F29</v>
      </c>
      <c r="B27" s="1867" t="str">
        <f>F!B155</f>
        <v>Predominant Depth Class</v>
      </c>
      <c r="C27" s="104" t="str">
        <f>F!C155</f>
        <v>During most of the time when water is present, its depth in most of the area is: [Note: This is not asking for the maximum depth]. If a ponded body of open water that adjoins the AA is larger than 8 ha, include its waters in this estimate, but only those waters within a distance from the AA that is equal to the vegetated AA's width]</v>
      </c>
      <c r="D27" s="372"/>
      <c r="E27" s="368"/>
      <c r="F27" s="234"/>
      <c r="G27" s="232">
        <f>IF((AllSat1&gt;0),"",MAX(F28:F32)/MAX(E28:E32))</f>
        <v>0</v>
      </c>
      <c r="H27" s="1910" t="s">
        <v>196</v>
      </c>
      <c r="I27" s="2011" t="s">
        <v>1143</v>
      </c>
    </row>
    <row r="28" spans="1:10" ht="15" customHeight="1" x14ac:dyDescent="0.2">
      <c r="A28" s="2035"/>
      <c r="B28" s="1911"/>
      <c r="C28" s="341" t="str">
        <f>F!C156</f>
        <v>&lt;10 cm deep (but &gt;0).</v>
      </c>
      <c r="D28" s="359">
        <f>F!D156</f>
        <v>0</v>
      </c>
      <c r="E28" s="369">
        <v>0</v>
      </c>
      <c r="F28" s="369">
        <f>D28*E28</f>
        <v>0</v>
      </c>
      <c r="G28" s="235"/>
      <c r="H28" s="1881"/>
      <c r="I28" s="2040"/>
    </row>
    <row r="29" spans="1:10" ht="15" customHeight="1" x14ac:dyDescent="0.2">
      <c r="A29" s="2035"/>
      <c r="B29" s="1911"/>
      <c r="C29" s="328" t="str">
        <f>F!C157</f>
        <v>10 - 50 cm deep.</v>
      </c>
      <c r="D29" s="359">
        <f>F!D157</f>
        <v>0</v>
      </c>
      <c r="E29" s="369">
        <v>1</v>
      </c>
      <c r="F29" s="369">
        <f>D29*E29</f>
        <v>0</v>
      </c>
      <c r="G29" s="236"/>
      <c r="H29" s="1881"/>
      <c r="I29" s="2040"/>
    </row>
    <row r="30" spans="1:10" ht="15" customHeight="1" x14ac:dyDescent="0.2">
      <c r="A30" s="2035"/>
      <c r="B30" s="1911"/>
      <c r="C30" s="328" t="str">
        <f>F!C158</f>
        <v>0.5 - 1 m deep.</v>
      </c>
      <c r="D30" s="359">
        <f>F!D158</f>
        <v>0</v>
      </c>
      <c r="E30" s="369">
        <v>2</v>
      </c>
      <c r="F30" s="369">
        <f>D30*E30</f>
        <v>0</v>
      </c>
      <c r="G30" s="236"/>
      <c r="H30" s="1881"/>
      <c r="I30" s="2040"/>
    </row>
    <row r="31" spans="1:10" ht="15" customHeight="1" x14ac:dyDescent="0.2">
      <c r="A31" s="2035"/>
      <c r="B31" s="1911"/>
      <c r="C31" s="328" t="str">
        <f>F!C159</f>
        <v>1 - 2 m deep.</v>
      </c>
      <c r="D31" s="359">
        <f>F!D159</f>
        <v>0</v>
      </c>
      <c r="E31" s="369">
        <v>4</v>
      </c>
      <c r="F31" s="369">
        <f>D31*E31</f>
        <v>0</v>
      </c>
      <c r="G31" s="236"/>
      <c r="H31" s="1881"/>
      <c r="I31" s="2040"/>
    </row>
    <row r="32" spans="1:10" ht="15" customHeight="1" thickBot="1" x14ac:dyDescent="0.25">
      <c r="A32" s="2037"/>
      <c r="B32" s="1978"/>
      <c r="C32" s="329" t="str">
        <f>F!C160</f>
        <v>&gt;2 m deep.  True for many fringe wetlands.</v>
      </c>
      <c r="D32" s="81">
        <f>F!D160</f>
        <v>0</v>
      </c>
      <c r="E32" s="205">
        <v>6</v>
      </c>
      <c r="F32" s="205">
        <f>D32*E32</f>
        <v>0</v>
      </c>
      <c r="G32" s="237"/>
      <c r="H32" s="1882"/>
      <c r="I32" s="2041"/>
    </row>
    <row r="33" spans="1:11" s="13" customFormat="1" ht="39" thickBot="1" x14ac:dyDescent="0.25">
      <c r="A33" s="2039" t="str">
        <f>F!A165</f>
        <v>F31</v>
      </c>
      <c r="B33" s="1911" t="str">
        <f>F!B165</f>
        <v xml:space="preserve">% of Water Ponded vs. Flowing </v>
      </c>
      <c r="C33" s="1389" t="str">
        <f>F!C165</f>
        <v>The percentage of the AA's surface water that is ponded (stagnant, or flows so slowly that fine sediment is not held in suspension) during most of the time it is present during the growing season, and which is either open or shaded by emergent vegetation, is:</v>
      </c>
      <c r="D33" s="238"/>
      <c r="E33" s="239"/>
      <c r="F33" s="240"/>
      <c r="G33" s="231">
        <f>IF((AllSat1&gt;0),"", IF((SmallAA=1),"", MAX(F34:F39)/MAX(E34:E39)))</f>
        <v>0</v>
      </c>
      <c r="H33" s="1910" t="s">
        <v>195</v>
      </c>
      <c r="I33" s="2040" t="s">
        <v>1030</v>
      </c>
      <c r="J33" s="144"/>
    </row>
    <row r="34" spans="1:11" s="13" customFormat="1" ht="27" customHeight="1" x14ac:dyDescent="0.2">
      <c r="A34" s="2039"/>
      <c r="B34" s="1991"/>
      <c r="C34" s="732" t="str">
        <f>F!C166</f>
        <v>None, or &lt;0.01 hectare and &lt;1% of the AA. Nearly all water is flowing.  Enter "1" and SKIP to F43 (pH measurement).</v>
      </c>
      <c r="D34" s="772">
        <f>F!D166</f>
        <v>0</v>
      </c>
      <c r="E34" s="377">
        <v>6</v>
      </c>
      <c r="F34" s="369">
        <f t="shared" ref="F34:F46" si="1">D34*E34</f>
        <v>0</v>
      </c>
      <c r="G34" s="236"/>
      <c r="H34" s="1881"/>
      <c r="I34" s="2040"/>
      <c r="J34" s="144"/>
    </row>
    <row r="35" spans="1:11" s="13" customFormat="1" ht="15" customHeight="1" x14ac:dyDescent="0.2">
      <c r="A35" s="2039"/>
      <c r="B35" s="1991"/>
      <c r="C35" s="732" t="str">
        <f>F!C167</f>
        <v>1-5% of the water.  The rest is flowing.</v>
      </c>
      <c r="D35" s="772">
        <f>F!D167</f>
        <v>0</v>
      </c>
      <c r="E35" s="377">
        <v>5</v>
      </c>
      <c r="F35" s="369">
        <f t="shared" si="1"/>
        <v>0</v>
      </c>
      <c r="G35" s="236"/>
      <c r="H35" s="1881"/>
      <c r="I35" s="2040"/>
      <c r="J35" s="144"/>
    </row>
    <row r="36" spans="1:11" s="13" customFormat="1" ht="15" customHeight="1" x14ac:dyDescent="0.2">
      <c r="A36" s="2039"/>
      <c r="B36" s="1991"/>
      <c r="C36" s="732" t="str">
        <f>F!C168</f>
        <v>5-30% of the water.</v>
      </c>
      <c r="D36" s="772">
        <f>F!D168</f>
        <v>0</v>
      </c>
      <c r="E36" s="377">
        <v>4</v>
      </c>
      <c r="F36" s="369">
        <f t="shared" si="1"/>
        <v>0</v>
      </c>
      <c r="G36" s="236"/>
      <c r="H36" s="1881"/>
      <c r="I36" s="2040"/>
      <c r="J36" s="144"/>
    </row>
    <row r="37" spans="1:11" s="13" customFormat="1" ht="15" customHeight="1" x14ac:dyDescent="0.2">
      <c r="A37" s="2039"/>
      <c r="B37" s="1991"/>
      <c r="C37" s="732" t="str">
        <f>F!C169</f>
        <v>30-70% of the water.</v>
      </c>
      <c r="D37" s="772">
        <f>F!D169</f>
        <v>0</v>
      </c>
      <c r="E37" s="377">
        <v>3</v>
      </c>
      <c r="F37" s="369">
        <f t="shared" si="1"/>
        <v>0</v>
      </c>
      <c r="G37" s="236"/>
      <c r="H37" s="1881"/>
      <c r="I37" s="2040"/>
      <c r="J37" s="144"/>
    </row>
    <row r="38" spans="1:11" s="13" customFormat="1" ht="15" customHeight="1" x14ac:dyDescent="0.2">
      <c r="A38" s="2039"/>
      <c r="B38" s="1991"/>
      <c r="C38" s="732" t="str">
        <f>F!C170</f>
        <v>70-99% of the water.</v>
      </c>
      <c r="D38" s="772">
        <f>F!D170</f>
        <v>0</v>
      </c>
      <c r="E38" s="377">
        <v>2</v>
      </c>
      <c r="F38" s="369">
        <f t="shared" si="1"/>
        <v>0</v>
      </c>
      <c r="G38" s="236"/>
      <c r="H38" s="1881"/>
      <c r="I38" s="2040"/>
      <c r="J38" s="144"/>
    </row>
    <row r="39" spans="1:11" s="13" customFormat="1" ht="15" customHeight="1" thickBot="1" x14ac:dyDescent="0.25">
      <c r="A39" s="2039"/>
      <c r="B39" s="1911"/>
      <c r="C39" s="732" t="str">
        <f>F!C171</f>
        <v>&gt;99% of the water.  Little or no visibly flowing water within the AA.</v>
      </c>
      <c r="D39" s="772">
        <f>F!D171</f>
        <v>0</v>
      </c>
      <c r="E39" s="377">
        <v>1</v>
      </c>
      <c r="F39" s="369">
        <f t="shared" si="1"/>
        <v>0</v>
      </c>
      <c r="G39" s="236"/>
      <c r="H39" s="1881"/>
      <c r="I39" s="2040"/>
      <c r="J39" s="144"/>
    </row>
    <row r="40" spans="1:11" s="13" customFormat="1" ht="39" thickBot="1" x14ac:dyDescent="0.25">
      <c r="A40" s="1992" t="str">
        <f>F!A173</f>
        <v>F33</v>
      </c>
      <c r="B40" s="1867" t="str">
        <f>F!B173</f>
        <v xml:space="preserve">% of Ponded Water That Is Open </v>
      </c>
      <c r="C40" s="90" t="str">
        <f>F!C173</f>
        <v>In ducks-eye aerial view, the percentage of the ponded water that is open (lacking emergent vegetation during most of the growing season, and unhidden by a forest or shrub canopy) is:</v>
      </c>
      <c r="D40" s="372"/>
      <c r="E40" s="376"/>
      <c r="F40" s="368"/>
      <c r="G40" s="232">
        <f>IF((AllSat1&gt;0),"",IF((NoPonded=1),"",MAX(F41:F46)/MAX(E41:E46)))</f>
        <v>0</v>
      </c>
      <c r="H40" s="1910" t="s">
        <v>472</v>
      </c>
      <c r="I40" s="2011" t="s">
        <v>1041</v>
      </c>
      <c r="J40" s="144"/>
    </row>
    <row r="41" spans="1:11" s="13" customFormat="1" ht="27" customHeight="1" x14ac:dyDescent="0.2">
      <c r="A41" s="1991"/>
      <c r="B41" s="1911"/>
      <c r="C41" s="23" t="str">
        <f>F!C174</f>
        <v>None, or &lt;1% of the AA and largest pool occupies &lt;0.01 hectares.  Enter "1" and SKIP to F41 (Floating Algae &amp; Duckweed).</v>
      </c>
      <c r="D41" s="180">
        <f>F!D174</f>
        <v>0</v>
      </c>
      <c r="E41" s="377">
        <v>5</v>
      </c>
      <c r="F41" s="369">
        <f t="shared" si="1"/>
        <v>0</v>
      </c>
      <c r="G41" s="236"/>
      <c r="H41" s="1881"/>
      <c r="I41" s="2040"/>
      <c r="J41" s="144"/>
    </row>
    <row r="42" spans="1:11" s="13" customFormat="1" ht="15" customHeight="1" x14ac:dyDescent="0.2">
      <c r="A42" s="1991"/>
      <c r="B42" s="1911"/>
      <c r="C42" s="362" t="str">
        <f>F!C175</f>
        <v>1-5% of the ponded water.  Enter "1" and SKIP to F41.</v>
      </c>
      <c r="D42" s="354">
        <f>F!D175</f>
        <v>0</v>
      </c>
      <c r="E42" s="377">
        <v>4</v>
      </c>
      <c r="F42" s="369">
        <f t="shared" si="1"/>
        <v>0</v>
      </c>
      <c r="G42" s="236"/>
      <c r="H42" s="1881"/>
      <c r="I42" s="2040"/>
      <c r="J42" s="144"/>
    </row>
    <row r="43" spans="1:11" s="13" customFormat="1" ht="15" customHeight="1" x14ac:dyDescent="0.2">
      <c r="A43" s="1991"/>
      <c r="B43" s="1911"/>
      <c r="C43" s="362" t="str">
        <f>F!C176</f>
        <v>5-30% of the ponded water.</v>
      </c>
      <c r="D43" s="354">
        <f>F!D176</f>
        <v>0</v>
      </c>
      <c r="E43" s="377">
        <v>3</v>
      </c>
      <c r="F43" s="369">
        <f t="shared" si="1"/>
        <v>0</v>
      </c>
      <c r="G43" s="236"/>
      <c r="H43" s="1881"/>
      <c r="I43" s="2040"/>
      <c r="J43" s="144"/>
    </row>
    <row r="44" spans="1:11" s="13" customFormat="1" ht="15" customHeight="1" x14ac:dyDescent="0.2">
      <c r="A44" s="1991"/>
      <c r="B44" s="1911"/>
      <c r="C44" s="362" t="str">
        <f>F!C177</f>
        <v>30-70% of the ponded water.</v>
      </c>
      <c r="D44" s="354">
        <f>F!D177</f>
        <v>0</v>
      </c>
      <c r="E44" s="377">
        <v>2</v>
      </c>
      <c r="F44" s="369">
        <f t="shared" si="1"/>
        <v>0</v>
      </c>
      <c r="G44" s="236"/>
      <c r="H44" s="1881"/>
      <c r="I44" s="2040"/>
      <c r="J44" s="144"/>
    </row>
    <row r="45" spans="1:11" s="13" customFormat="1" ht="15" customHeight="1" x14ac:dyDescent="0.2">
      <c r="A45" s="1991"/>
      <c r="B45" s="1911"/>
      <c r="C45" s="362" t="str">
        <f>F!C178</f>
        <v>70-99% of the ponded water.</v>
      </c>
      <c r="D45" s="354">
        <f>F!D178</f>
        <v>0</v>
      </c>
      <c r="E45" s="377">
        <v>1</v>
      </c>
      <c r="F45" s="369">
        <f t="shared" si="1"/>
        <v>0</v>
      </c>
      <c r="G45" s="236"/>
      <c r="H45" s="1881"/>
      <c r="I45" s="2040"/>
      <c r="J45" s="144"/>
    </row>
    <row r="46" spans="1:11" s="13" customFormat="1" ht="15" customHeight="1" thickBot="1" x14ac:dyDescent="0.25">
      <c r="A46" s="1993"/>
      <c r="B46" s="1978"/>
      <c r="C46" s="82" t="str">
        <f>F!C179</f>
        <v xml:space="preserve">100% of the ponded water. </v>
      </c>
      <c r="D46" s="94">
        <f>F!D179</f>
        <v>0</v>
      </c>
      <c r="E46" s="244">
        <v>0</v>
      </c>
      <c r="F46" s="205">
        <f t="shared" si="1"/>
        <v>0</v>
      </c>
      <c r="G46" s="237"/>
      <c r="H46" s="1882"/>
      <c r="I46" s="2041"/>
      <c r="J46" s="144"/>
    </row>
    <row r="47" spans="1:11" s="13" customFormat="1" ht="77.25" thickBot="1" x14ac:dyDescent="0.25">
      <c r="A47" s="1980" t="str">
        <f>F!A233</f>
        <v>F48</v>
      </c>
      <c r="B47" s="1985" t="str">
        <f>F!B233</f>
        <v>Channel Connection &amp; Outflow Duration</v>
      </c>
      <c r="C47" s="373" t="str">
        <f>F!C233</f>
        <v>The most persistent surface water connection (outlet channel or pipe, ditch, or overbank water exchange) between the AA and the closest larger water body located downslope is: [Note: If the AA represents only part of a wetland, answer this according to whichever is the least permanent surface connection: the one between the AA and the rest of the wetland, or the surface connection between the wetland and a mapped stream or lake located within 200 m downslope from the wetland ]</v>
      </c>
      <c r="D47" s="374"/>
      <c r="E47" s="375"/>
      <c r="F47" s="375"/>
      <c r="G47" s="231">
        <f>MAX(F48:F52)/MAX(E48:E52)</f>
        <v>0</v>
      </c>
      <c r="H47" s="1910" t="s">
        <v>192</v>
      </c>
      <c r="I47" s="2040" t="s">
        <v>259</v>
      </c>
      <c r="J47" s="144"/>
      <c r="K47" s="76"/>
    </row>
    <row r="48" spans="1:11" s="13" customFormat="1" ht="15" customHeight="1" x14ac:dyDescent="0.2">
      <c r="A48" s="1980"/>
      <c r="B48" s="1985"/>
      <c r="C48" s="363" t="str">
        <f>F!C234</f>
        <v>persistent (&gt;9 months/year, including times when frozen).</v>
      </c>
      <c r="D48" s="382">
        <f>F!D234</f>
        <v>0</v>
      </c>
      <c r="E48" s="381">
        <v>5</v>
      </c>
      <c r="F48" s="355">
        <f>D48*E48</f>
        <v>0</v>
      </c>
      <c r="G48" s="246"/>
      <c r="H48" s="1881"/>
      <c r="I48" s="2040"/>
      <c r="J48" s="144"/>
    </row>
    <row r="49" spans="1:11" s="13" customFormat="1" ht="25.5" x14ac:dyDescent="0.2">
      <c r="A49" s="1980"/>
      <c r="B49" s="1985"/>
      <c r="C49" s="364" t="str">
        <f>F!C235</f>
        <v>seasonal (14 days to 9 months/year, not necessarily consecutive, including times when frozen).</v>
      </c>
      <c r="D49" s="382">
        <f>F!D235</f>
        <v>0</v>
      </c>
      <c r="E49" s="381">
        <v>2</v>
      </c>
      <c r="F49" s="355">
        <f>D49*E49</f>
        <v>0</v>
      </c>
      <c r="G49" s="347"/>
      <c r="H49" s="1881"/>
      <c r="I49" s="2040"/>
      <c r="J49" s="144"/>
    </row>
    <row r="50" spans="1:11" s="13" customFormat="1" ht="15" customHeight="1" x14ac:dyDescent="0.2">
      <c r="A50" s="1980"/>
      <c r="B50" s="1985"/>
      <c r="C50" s="364" t="str">
        <f>F!C236</f>
        <v>temporary (&lt;14 days, not necessarily consecutive, but must be unfrozen).</v>
      </c>
      <c r="D50" s="382">
        <f>F!D236</f>
        <v>0</v>
      </c>
      <c r="E50" s="381">
        <v>1</v>
      </c>
      <c r="F50" s="355">
        <f>D50*E50</f>
        <v>0</v>
      </c>
      <c r="G50" s="347"/>
      <c r="H50" s="1881"/>
      <c r="I50" s="2040"/>
      <c r="J50" s="144"/>
      <c r="K50" s="13" t="s">
        <v>406</v>
      </c>
    </row>
    <row r="51" spans="1:11" s="13" customFormat="1" ht="38.25" x14ac:dyDescent="0.2">
      <c r="A51" s="1980"/>
      <c r="B51" s="1985"/>
      <c r="C51" s="364" t="str">
        <f>F!C237</f>
        <v xml:space="preserve">none -- but maps show a stream or other water body that is downslope from the AA and within a distance that is less than the AA's length.  If so, mark "1" here and SKIP TO F50 (Groundwater). </v>
      </c>
      <c r="D51" s="382">
        <f>F!D237</f>
        <v>0</v>
      </c>
      <c r="E51" s="381">
        <v>0</v>
      </c>
      <c r="F51" s="355">
        <f>D51*E51</f>
        <v>0</v>
      </c>
      <c r="G51" s="347"/>
      <c r="H51" s="1881"/>
      <c r="I51" s="2040"/>
      <c r="J51" s="144"/>
    </row>
    <row r="52" spans="1:11" s="13" customFormat="1" ht="42" customHeight="1" thickBot="1" x14ac:dyDescent="0.25">
      <c r="A52" s="1980"/>
      <c r="B52" s="1985"/>
      <c r="C52" s="365" t="str">
        <f>F!C238</f>
        <v xml:space="preserve">no surface water flows out of the wetland except possibly during extreme events (&lt;once per 10 years). Or, water flows only into a wetland, ditch, or lake that lacks an outlet.  If so, mark "1" here and SKIP TO F50 (Groundwater). </v>
      </c>
      <c r="D52" s="383">
        <f>F!D238</f>
        <v>0</v>
      </c>
      <c r="E52" s="384">
        <v>0</v>
      </c>
      <c r="F52" s="357">
        <f>D52*E52</f>
        <v>0</v>
      </c>
      <c r="G52" s="347"/>
      <c r="H52" s="1882"/>
      <c r="I52" s="2040"/>
      <c r="J52" s="144"/>
    </row>
    <row r="53" spans="1:11" ht="21" customHeight="1" thickBot="1" x14ac:dyDescent="0.25">
      <c r="A53" s="2000" t="str">
        <f>F!A243</f>
        <v>F50</v>
      </c>
      <c r="B53" s="1867" t="str">
        <f>F!B243</f>
        <v>Groundwater: Strength of Evidence</v>
      </c>
      <c r="C53" s="104" t="str">
        <f>F!C243</f>
        <v xml:space="preserve">Select first applicable choice. </v>
      </c>
      <c r="D53" s="378"/>
      <c r="E53" s="368"/>
      <c r="F53" s="234"/>
      <c r="G53" s="232">
        <f>MAX(F54:F56)/MAX(E54:E56)</f>
        <v>0</v>
      </c>
      <c r="H53" s="1910" t="s">
        <v>193</v>
      </c>
      <c r="I53" s="2011" t="s">
        <v>1142</v>
      </c>
    </row>
    <row r="54" spans="1:11" ht="57" customHeight="1" x14ac:dyDescent="0.2">
      <c r="A54" s="1989"/>
      <c r="B54" s="1911"/>
      <c r="C54" s="1392" t="str">
        <f>F!C244</f>
        <v xml:space="preserve">Springs are known to be present within the AA, or if groundwater levels have been monitored, that has demonstrated that groundwater primarily discharges to the wetland for longer periods during the year than periods when the wetland recharges the groundwater. 
</v>
      </c>
      <c r="D54" s="442">
        <f>F!D244</f>
        <v>0</v>
      </c>
      <c r="E54" s="369">
        <v>3</v>
      </c>
      <c r="F54" s="369">
        <f>D54*E54</f>
        <v>0</v>
      </c>
      <c r="G54" s="235"/>
      <c r="H54" s="1881"/>
      <c r="I54" s="2040"/>
    </row>
    <row r="55" spans="1:11" ht="87" customHeight="1" x14ac:dyDescent="0.2">
      <c r="A55" s="1989"/>
      <c r="B55" s="1911"/>
      <c r="C55" s="328" t="str">
        <f>F!C245</f>
        <v xml:space="preserve">If surface water is present, its pH (Q44) is &gt;5.5 AND one or more of the following are true: (a) the AA is located very close to the base of (but mostly not ON) a natural slope much steeper (usually &gt;15%) than that within the AA and longer than 100 m, OR
(b) rust deposits ("iron floc"), colored precipitates, or dispersible natural oil sheen are prevalent in the AA, OR
(c) AA is located at a geologic fault.
</v>
      </c>
      <c r="D55" s="385">
        <f>F!D245</f>
        <v>0</v>
      </c>
      <c r="E55" s="369">
        <v>2</v>
      </c>
      <c r="F55" s="369">
        <f>D55*E55</f>
        <v>0</v>
      </c>
      <c r="G55" s="236"/>
      <c r="H55" s="1881"/>
      <c r="I55" s="2040"/>
    </row>
    <row r="56" spans="1:11" ht="27" customHeight="1" thickBot="1" x14ac:dyDescent="0.25">
      <c r="A56" s="1990"/>
      <c r="B56" s="1978"/>
      <c r="C56" s="390" t="str">
        <f>F!C246</f>
        <v>Neither of above is true, although some groundwater may discharge to or flow through the AA.  Or groundwater influx is unknown.</v>
      </c>
      <c r="D56" s="81">
        <f>F!D246</f>
        <v>0</v>
      </c>
      <c r="E56" s="205">
        <v>0</v>
      </c>
      <c r="F56" s="205">
        <f>D56*E56</f>
        <v>0</v>
      </c>
      <c r="G56" s="237"/>
      <c r="H56" s="1882"/>
      <c r="I56" s="2042"/>
    </row>
    <row r="57" spans="1:11" ht="21" customHeight="1" thickBot="1" x14ac:dyDescent="0.25">
      <c r="A57" s="827"/>
      <c r="B57" s="827"/>
      <c r="C57" s="394"/>
      <c r="D57" s="394"/>
      <c r="E57" s="394"/>
      <c r="F57" s="394"/>
      <c r="G57" s="394"/>
      <c r="H57" s="394"/>
      <c r="I57" s="394"/>
    </row>
    <row r="58" spans="1:11" s="5" customFormat="1" ht="21" customHeight="1" thickBot="1" x14ac:dyDescent="0.25">
      <c r="A58" s="940"/>
      <c r="B58" s="940"/>
      <c r="C58" s="391" t="s">
        <v>713</v>
      </c>
      <c r="D58" s="607"/>
      <c r="E58" s="607"/>
      <c r="F58" s="607"/>
      <c r="G58" s="607"/>
      <c r="H58" s="110"/>
      <c r="I58" s="110"/>
      <c r="J58" s="441"/>
    </row>
    <row r="59" spans="1:11" s="5" customFormat="1" ht="28.5" customHeight="1" thickBot="1" x14ac:dyDescent="0.25">
      <c r="A59" s="940"/>
      <c r="B59" s="940"/>
      <c r="C59" s="78" t="s">
        <v>2277</v>
      </c>
      <c r="D59" s="1547"/>
      <c r="E59" s="507"/>
      <c r="F59" s="1547"/>
      <c r="G59" s="1606">
        <f>AVERAGE(AVERAGE(SatPct7, Shade7),AVERAGE(Depth7, ISOdry7, OpenPonded7))</f>
        <v>0</v>
      </c>
      <c r="H59" s="110"/>
      <c r="I59" s="110"/>
      <c r="J59" s="140"/>
      <c r="K59" s="110"/>
    </row>
    <row r="60" spans="1:11" s="5" customFormat="1" ht="21" customHeight="1" thickBot="1" x14ac:dyDescent="0.25">
      <c r="A60" s="940"/>
      <c r="B60" s="940"/>
      <c r="C60" s="25"/>
      <c r="D60" s="827"/>
      <c r="E60" s="827"/>
      <c r="F60" s="827"/>
      <c r="G60" s="827"/>
      <c r="H60" s="110"/>
      <c r="I60" s="110"/>
      <c r="J60" s="441"/>
    </row>
    <row r="61" spans="1:11" s="5" customFormat="1" ht="21" customHeight="1" thickBot="1" x14ac:dyDescent="0.25">
      <c r="A61" s="940"/>
      <c r="B61" s="940"/>
      <c r="C61" s="392" t="s">
        <v>714</v>
      </c>
      <c r="D61" s="1027"/>
      <c r="E61" s="1027"/>
      <c r="F61" s="1027"/>
      <c r="G61" s="1027"/>
      <c r="H61" s="110"/>
      <c r="I61" s="110"/>
      <c r="J61" s="441"/>
    </row>
    <row r="62" spans="1:11" s="5" customFormat="1" ht="21" customHeight="1" thickBot="1" x14ac:dyDescent="0.25">
      <c r="A62" s="940"/>
      <c r="B62" s="940"/>
      <c r="C62" s="78" t="s">
        <v>2254</v>
      </c>
      <c r="D62" s="507"/>
      <c r="E62" s="507"/>
      <c r="F62" s="507"/>
      <c r="G62" s="285">
        <f>AVERAGE(Gwater7, GWDspring, WclassDom7)</f>
        <v>0</v>
      </c>
      <c r="H62" s="110"/>
      <c r="I62" s="110"/>
      <c r="J62" s="441"/>
    </row>
    <row r="63" spans="1:11" s="5" customFormat="1" ht="21" customHeight="1" thickBot="1" x14ac:dyDescent="0.25">
      <c r="A63" s="940"/>
      <c r="B63" s="940"/>
      <c r="C63" s="25"/>
      <c r="D63" s="1975"/>
      <c r="E63" s="1975"/>
      <c r="F63" s="1975"/>
      <c r="G63" s="1975"/>
      <c r="H63" s="110"/>
      <c r="I63" s="110"/>
      <c r="J63" s="441"/>
    </row>
    <row r="64" spans="1:11" s="5" customFormat="1" ht="21" customHeight="1" thickBot="1" x14ac:dyDescent="0.25">
      <c r="A64" s="940"/>
      <c r="B64" s="940"/>
      <c r="C64" s="392" t="s">
        <v>715</v>
      </c>
      <c r="D64" s="2031"/>
      <c r="E64" s="2031"/>
      <c r="F64" s="2031"/>
      <c r="G64" s="2031"/>
      <c r="H64" s="110"/>
      <c r="I64" s="110"/>
      <c r="J64" s="441"/>
    </row>
    <row r="65" spans="1:10" s="5" customFormat="1" ht="21" customHeight="1" thickBot="1" x14ac:dyDescent="0.25">
      <c r="A65" s="940"/>
      <c r="B65" s="940"/>
      <c r="C65" s="78" t="s">
        <v>2463</v>
      </c>
      <c r="D65" s="507"/>
      <c r="E65" s="507"/>
      <c r="F65" s="507"/>
      <c r="G65" s="285">
        <f>AVERAGE(OutDur7, RipFloodpl, ElevPctileHUC8)</f>
        <v>0</v>
      </c>
      <c r="H65" s="110"/>
      <c r="I65" s="110"/>
      <c r="J65" s="441"/>
    </row>
    <row r="66" spans="1:10" s="5" customFormat="1" ht="21" customHeight="1" thickBot="1" x14ac:dyDescent="0.25">
      <c r="A66" s="940"/>
      <c r="B66" s="940"/>
      <c r="C66" s="25"/>
      <c r="D66" s="827"/>
      <c r="E66" s="827"/>
      <c r="F66" s="827"/>
      <c r="G66" s="827"/>
      <c r="H66" s="110"/>
      <c r="I66" s="110"/>
      <c r="J66" s="141"/>
    </row>
    <row r="67" spans="1:10" s="5" customFormat="1" ht="21" customHeight="1" thickBot="1" x14ac:dyDescent="0.25">
      <c r="A67" s="940"/>
      <c r="B67" s="940"/>
      <c r="C67" s="639" t="s">
        <v>846</v>
      </c>
      <c r="D67" s="940"/>
      <c r="E67" s="940"/>
      <c r="F67" s="940"/>
      <c r="G67" s="940"/>
      <c r="H67" s="110"/>
      <c r="I67" s="110"/>
      <c r="J67" s="441"/>
    </row>
    <row r="68" spans="1:10" s="5" customFormat="1" ht="21" customHeight="1" thickBot="1" x14ac:dyDescent="0.25">
      <c r="A68" s="940"/>
      <c r="B68" s="940"/>
      <c r="C68" s="417" t="s">
        <v>706</v>
      </c>
      <c r="D68" s="1027"/>
      <c r="E68" s="1027"/>
      <c r="F68" s="1027"/>
      <c r="G68" s="1027"/>
      <c r="H68" s="110"/>
      <c r="I68" s="110"/>
      <c r="J68" s="441"/>
    </row>
    <row r="69" spans="1:10" s="5" customFormat="1" ht="21" customHeight="1" thickBot="1" x14ac:dyDescent="0.25">
      <c r="A69" s="940"/>
      <c r="B69" s="940"/>
      <c r="C69" s="78" t="s">
        <v>2384</v>
      </c>
      <c r="D69" s="507"/>
      <c r="E69" s="507"/>
      <c r="F69" s="507"/>
      <c r="G69" s="582">
        <f>IF((OutNone + OutNone1&gt;0),0, 10*AVERAGE(SHADE1A, GWIN1A, OUT7A))</f>
        <v>0</v>
      </c>
      <c r="H69" s="110"/>
      <c r="I69" s="110"/>
      <c r="J69" s="441"/>
    </row>
    <row r="70" spans="1:10" ht="21" customHeight="1" thickBot="1" x14ac:dyDescent="0.25">
      <c r="A70" s="588" t="s">
        <v>406</v>
      </c>
      <c r="B70" s="588"/>
      <c r="C70" s="588"/>
      <c r="D70" s="588"/>
      <c r="E70" s="588"/>
      <c r="F70" s="588"/>
      <c r="G70" s="588"/>
      <c r="H70" s="588"/>
      <c r="I70" s="824" t="s">
        <v>293</v>
      </c>
      <c r="J70" s="144"/>
    </row>
    <row r="71" spans="1:10" ht="42" customHeight="1" x14ac:dyDescent="0.2">
      <c r="A71" s="588"/>
      <c r="B71" s="588"/>
      <c r="C71" s="588"/>
      <c r="D71" s="588"/>
      <c r="E71" s="588"/>
      <c r="F71" s="588"/>
      <c r="G71" s="588"/>
      <c r="H71" s="588"/>
      <c r="I71" s="1421" t="s">
        <v>1140</v>
      </c>
      <c r="J71" s="144"/>
    </row>
    <row r="72" spans="1:10" ht="38.25" x14ac:dyDescent="0.2">
      <c r="A72" s="588"/>
      <c r="B72" s="588"/>
      <c r="C72" s="588"/>
      <c r="D72" s="588"/>
      <c r="E72" s="588"/>
      <c r="F72" s="588"/>
      <c r="G72" s="588"/>
      <c r="H72" s="588"/>
      <c r="I72" s="1404" t="s">
        <v>1804</v>
      </c>
      <c r="J72" s="144"/>
    </row>
    <row r="73" spans="1:10" ht="42" customHeight="1" x14ac:dyDescent="0.2">
      <c r="A73" s="588"/>
      <c r="B73" s="588"/>
      <c r="C73" s="588"/>
      <c r="D73" s="588"/>
      <c r="E73" s="588"/>
      <c r="F73" s="588"/>
      <c r="G73" s="588"/>
      <c r="H73" s="588"/>
      <c r="I73" s="1404" t="s">
        <v>1139</v>
      </c>
      <c r="J73" s="144"/>
    </row>
    <row r="74" spans="1:10" ht="38.25" x14ac:dyDescent="0.2">
      <c r="A74" s="588"/>
      <c r="B74" s="588"/>
      <c r="C74" s="588"/>
      <c r="D74" s="588"/>
      <c r="E74" s="588"/>
      <c r="F74" s="588"/>
      <c r="G74" s="588"/>
      <c r="H74" s="588"/>
      <c r="I74" s="1404" t="s">
        <v>1141</v>
      </c>
      <c r="J74" s="144"/>
    </row>
    <row r="75" spans="1:10" ht="57" customHeight="1" x14ac:dyDescent="0.2">
      <c r="A75" s="588"/>
      <c r="B75" s="588"/>
      <c r="C75" s="588"/>
      <c r="D75" s="588"/>
      <c r="E75" s="588"/>
      <c r="F75" s="588"/>
      <c r="G75" s="588"/>
      <c r="H75" s="588"/>
      <c r="I75" s="1407" t="s">
        <v>300</v>
      </c>
      <c r="J75" s="144"/>
    </row>
    <row r="76" spans="1:10" ht="42" customHeight="1" x14ac:dyDescent="0.2">
      <c r="A76" s="588"/>
      <c r="B76" s="588"/>
      <c r="C76" s="588"/>
      <c r="D76" s="588"/>
      <c r="E76" s="588"/>
      <c r="F76" s="588"/>
      <c r="G76" s="588"/>
      <c r="H76" s="588"/>
      <c r="I76" s="1404" t="s">
        <v>301</v>
      </c>
      <c r="J76" s="144"/>
    </row>
    <row r="77" spans="1:10" ht="42" customHeight="1" thickBot="1" x14ac:dyDescent="0.25">
      <c r="A77" s="588"/>
      <c r="B77" s="588"/>
      <c r="C77" s="588"/>
      <c r="D77" s="588"/>
      <c r="E77" s="588"/>
      <c r="F77" s="588"/>
      <c r="G77" s="588"/>
      <c r="H77" s="588"/>
      <c r="I77" s="1405" t="s">
        <v>302</v>
      </c>
      <c r="J77" s="144"/>
    </row>
    <row r="78" spans="1:10" ht="42" customHeight="1" x14ac:dyDescent="0.2">
      <c r="A78" s="588"/>
      <c r="B78" s="588"/>
      <c r="C78" s="588"/>
      <c r="D78" s="588"/>
      <c r="E78" s="588"/>
      <c r="F78" s="588"/>
      <c r="G78" s="588"/>
      <c r="H78" s="588"/>
      <c r="I78" s="394"/>
      <c r="J78" s="144"/>
    </row>
    <row r="79" spans="1:10" ht="42" customHeight="1" x14ac:dyDescent="0.2">
      <c r="A79" s="588"/>
      <c r="B79" s="588"/>
      <c r="C79" s="588"/>
      <c r="D79" s="588"/>
      <c r="E79" s="588"/>
      <c r="F79" s="588"/>
      <c r="G79" s="588"/>
      <c r="H79" s="588"/>
      <c r="I79" s="110"/>
      <c r="J79" s="144"/>
    </row>
    <row r="80" spans="1:10" ht="42" customHeight="1" x14ac:dyDescent="0.2">
      <c r="A80" s="588"/>
      <c r="B80" s="588"/>
      <c r="C80" s="588"/>
      <c r="D80" s="588"/>
      <c r="E80" s="588"/>
      <c r="F80" s="588"/>
      <c r="G80" s="588"/>
      <c r="H80" s="588"/>
      <c r="I80" s="110"/>
      <c r="J80" s="144"/>
    </row>
    <row r="81" spans="1:10" ht="42" customHeight="1" x14ac:dyDescent="0.2">
      <c r="A81" s="588"/>
      <c r="B81" s="588"/>
      <c r="C81" s="588"/>
      <c r="D81" s="588"/>
      <c r="E81" s="588"/>
      <c r="F81" s="588"/>
      <c r="G81" s="588"/>
      <c r="H81" s="588"/>
      <c r="I81" s="110"/>
      <c r="J81" s="144"/>
    </row>
    <row r="82" spans="1:10" ht="42" customHeight="1" x14ac:dyDescent="0.2">
      <c r="A82" s="588"/>
      <c r="B82" s="588"/>
      <c r="C82" s="588"/>
      <c r="D82" s="588"/>
      <c r="E82" s="588"/>
      <c r="F82" s="588"/>
      <c r="G82" s="588"/>
      <c r="H82" s="588"/>
      <c r="I82" s="110"/>
      <c r="J82" s="144"/>
    </row>
    <row r="83" spans="1:10" ht="42" customHeight="1" x14ac:dyDescent="0.2">
      <c r="A83" s="588"/>
      <c r="B83" s="588"/>
      <c r="C83" s="588"/>
      <c r="D83" s="588"/>
      <c r="E83" s="588"/>
      <c r="F83" s="588"/>
      <c r="G83" s="588"/>
      <c r="H83" s="588"/>
      <c r="I83" s="110"/>
      <c r="J83" s="144"/>
    </row>
    <row r="84" spans="1:10" ht="42" customHeight="1" x14ac:dyDescent="0.2">
      <c r="A84" s="588"/>
      <c r="B84" s="588"/>
      <c r="C84" s="588"/>
      <c r="D84" s="588"/>
      <c r="E84" s="588"/>
      <c r="F84" s="588"/>
      <c r="G84" s="588"/>
      <c r="H84" s="588"/>
      <c r="I84" s="5"/>
      <c r="J84" s="144"/>
    </row>
    <row r="85" spans="1:10" ht="42" customHeight="1" x14ac:dyDescent="0.2">
      <c r="A85" s="588"/>
      <c r="B85" s="588"/>
      <c r="C85" s="588"/>
      <c r="D85" s="588"/>
      <c r="E85" s="588"/>
      <c r="F85" s="588"/>
      <c r="G85" s="588"/>
      <c r="H85" s="588"/>
      <c r="I85" s="19"/>
      <c r="J85" s="144"/>
    </row>
    <row r="86" spans="1:10" ht="42" customHeight="1" x14ac:dyDescent="0.2">
      <c r="A86" s="110"/>
      <c r="B86" s="110"/>
      <c r="C86" s="110"/>
      <c r="D86" s="110"/>
      <c r="E86" s="110"/>
      <c r="F86" s="110"/>
      <c r="G86" s="110"/>
      <c r="H86" s="110"/>
      <c r="J86" s="144"/>
    </row>
    <row r="87" spans="1:10" ht="42" customHeight="1" x14ac:dyDescent="0.2">
      <c r="A87" s="110"/>
      <c r="D87" s="574"/>
      <c r="E87" s="110"/>
      <c r="F87" s="110"/>
      <c r="G87" s="110"/>
      <c r="H87" s="110"/>
      <c r="J87" s="144"/>
    </row>
    <row r="88" spans="1:10" ht="42" customHeight="1" x14ac:dyDescent="0.2">
      <c r="A88" s="110"/>
      <c r="E88" s="110"/>
      <c r="F88" s="110"/>
      <c r="G88" s="110"/>
      <c r="H88" s="110"/>
      <c r="J88" s="144"/>
    </row>
    <row r="89" spans="1:10" ht="21" customHeight="1" x14ac:dyDescent="0.2">
      <c r="A89" s="5"/>
      <c r="E89" s="5"/>
      <c r="F89" s="5"/>
      <c r="G89" s="5"/>
      <c r="H89" s="5"/>
      <c r="J89" s="144"/>
    </row>
    <row r="90" spans="1:10" s="15" customFormat="1" ht="18.600000000000001" customHeight="1" x14ac:dyDescent="0.2">
      <c r="A90" s="25"/>
      <c r="B90" s="19"/>
      <c r="C90" s="5"/>
      <c r="D90" s="249"/>
      <c r="E90" s="5"/>
      <c r="F90" s="5"/>
      <c r="G90" s="573"/>
      <c r="H90" s="137"/>
      <c r="I90" s="39"/>
      <c r="J90" s="145"/>
    </row>
  </sheetData>
  <sheetProtection password="C4B9" sheet="1" objects="1" scenarios="1"/>
  <sortState ref="A3:K9">
    <sortCondition ref="H3:H9"/>
  </sortState>
  <customSheetViews>
    <customSheetView guid="{B8E02330-2419-4DE6-AD01-7ACC7A5D18DD}" scale="75" topLeftCell="A35">
      <selection activeCell="A2" sqref="A2:H47"/>
      <pageMargins left="0.75" right="0.75" top="1" bottom="1" header="0.5" footer="0.5"/>
      <pageSetup orientation="portrait" r:id="rId1"/>
      <headerFooter alignWithMargins="0"/>
    </customSheetView>
  </customSheetViews>
  <mergeCells count="35">
    <mergeCell ref="E1:H1"/>
    <mergeCell ref="I27:I32"/>
    <mergeCell ref="A1:B1"/>
    <mergeCell ref="B27:B32"/>
    <mergeCell ref="A15:A20"/>
    <mergeCell ref="A21:A26"/>
    <mergeCell ref="A27:A32"/>
    <mergeCell ref="B15:B20"/>
    <mergeCell ref="B21:B26"/>
    <mergeCell ref="A8:A14"/>
    <mergeCell ref="B8:B14"/>
    <mergeCell ref="I8:I14"/>
    <mergeCell ref="H27:H32"/>
    <mergeCell ref="H21:H26"/>
    <mergeCell ref="H8:H14"/>
    <mergeCell ref="H15:H20"/>
    <mergeCell ref="D63:G64"/>
    <mergeCell ref="I47:I52"/>
    <mergeCell ref="H47:H52"/>
    <mergeCell ref="H53:H56"/>
    <mergeCell ref="A40:A46"/>
    <mergeCell ref="I53:I56"/>
    <mergeCell ref="B53:B56"/>
    <mergeCell ref="A53:A56"/>
    <mergeCell ref="I15:I20"/>
    <mergeCell ref="I40:I46"/>
    <mergeCell ref="B33:B39"/>
    <mergeCell ref="I33:I39"/>
    <mergeCell ref="B40:B46"/>
    <mergeCell ref="A33:A39"/>
    <mergeCell ref="H33:H39"/>
    <mergeCell ref="H40:H46"/>
    <mergeCell ref="I21:I26"/>
    <mergeCell ref="A47:A52"/>
    <mergeCell ref="B47:B52"/>
  </mergeCells>
  <phoneticPr fontId="12" type="noConversion"/>
  <conditionalFormatting sqref="D62:D63 D65:D66 D69 D42:D47 D49:D53 D55:D56 D59:D60 D27:D31 D33 D35:D40 D8 D10:D11 D13:D25">
    <cfRule type="cellIs" dxfId="10" priority="1" operator="greaterThan">
      <formula>0</formula>
    </cfRule>
  </conditionalFormatting>
  <pageMargins left="0.75" right="0.75" top="1" bottom="1" header="0.5" footer="0.5"/>
  <pageSetup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R231"/>
  <sheetViews>
    <sheetView topLeftCell="A2" zoomScaleNormal="100" workbookViewId="0">
      <selection activeCell="C80" sqref="C80"/>
    </sheetView>
  </sheetViews>
  <sheetFormatPr defaultColWidth="9.33203125" defaultRowHeight="12.75" x14ac:dyDescent="0.2"/>
  <cols>
    <col min="1" max="1" width="5.83203125" style="19" customWidth="1"/>
    <col min="2" max="2" width="18.83203125" style="6" customWidth="1"/>
    <col min="3" max="3" width="69.83203125" style="6" customWidth="1"/>
    <col min="4" max="4" width="6.83203125" style="577" customWidth="1"/>
    <col min="5" max="5" width="8.1640625" style="577" customWidth="1"/>
    <col min="6" max="6" width="9.33203125" style="577" customWidth="1"/>
    <col min="7" max="7" width="10.83203125" style="179" customWidth="1"/>
    <col min="8" max="8" width="12.83203125" style="137" customWidth="1"/>
    <col min="9" max="9" width="67.83203125" style="25" customWidth="1"/>
    <col min="10" max="10" width="9.33203125" style="574"/>
    <col min="11" max="12" width="9.33203125" style="5"/>
    <col min="13" max="13" width="44" style="5" customWidth="1"/>
    <col min="14" max="16384" width="9.33203125" style="5"/>
  </cols>
  <sheetData>
    <row r="1" spans="1:13" s="62" customFormat="1" ht="120.75" customHeight="1" thickBot="1" x14ac:dyDescent="0.25">
      <c r="A1" s="2076" t="s">
        <v>1753</v>
      </c>
      <c r="B1" s="2077"/>
      <c r="C1" s="60" t="s">
        <v>507</v>
      </c>
      <c r="D1" s="75" t="s">
        <v>508</v>
      </c>
      <c r="E1" s="2083"/>
      <c r="F1" s="2084"/>
      <c r="G1" s="2084"/>
      <c r="H1" s="2085"/>
      <c r="I1" s="77" t="s">
        <v>885</v>
      </c>
      <c r="J1" s="147"/>
    </row>
    <row r="2" spans="1:13" s="108" customFormat="1" ht="36" customHeight="1" thickBot="1" x14ac:dyDescent="0.35">
      <c r="A2" s="1016" t="s">
        <v>78</v>
      </c>
      <c r="B2" s="624" t="s">
        <v>701</v>
      </c>
      <c r="C2" s="625" t="s">
        <v>866</v>
      </c>
      <c r="D2" s="623"/>
      <c r="E2" s="626"/>
      <c r="F2" s="627"/>
      <c r="G2" s="628" t="s">
        <v>710</v>
      </c>
      <c r="H2" s="624" t="s">
        <v>2028</v>
      </c>
      <c r="I2" s="624" t="s">
        <v>255</v>
      </c>
      <c r="J2" s="170"/>
      <c r="M2" s="201"/>
    </row>
    <row r="3" spans="1:13" s="1325" customFormat="1" ht="57" customHeight="1" thickBot="1" x14ac:dyDescent="0.25">
      <c r="A3" s="322" t="str">
        <f>OF!A36</f>
        <v>OF35</v>
      </c>
      <c r="B3" s="323" t="str">
        <f>OF!C36</f>
        <v xml:space="preserve">% Slope </v>
      </c>
      <c r="C3" s="337"/>
      <c r="D3" s="324"/>
      <c r="E3" s="325"/>
      <c r="F3" s="325"/>
      <c r="G3" s="345" t="str">
        <f>IF((SlopeBuffer=""),"",SlopeBuffer)</f>
        <v/>
      </c>
      <c r="H3" s="351" t="s">
        <v>793</v>
      </c>
      <c r="I3" s="403" t="s">
        <v>1019</v>
      </c>
      <c r="J3" s="1600"/>
      <c r="K3" s="1332"/>
    </row>
    <row r="4" spans="1:13" s="1325" customFormat="1" ht="30" customHeight="1" thickBot="1" x14ac:dyDescent="0.25">
      <c r="A4" s="317" t="str">
        <f>OF!A37</f>
        <v>OF36</v>
      </c>
      <c r="B4" s="318" t="str">
        <f>OF!C37</f>
        <v>Subzero Days</v>
      </c>
      <c r="C4" s="336" t="s">
        <v>867</v>
      </c>
      <c r="D4" s="320"/>
      <c r="E4" s="321"/>
      <c r="F4" s="321"/>
      <c r="G4" s="330" t="str">
        <f>IF((Sub0Days=""),"",Sub0Days)</f>
        <v/>
      </c>
      <c r="H4" s="331" t="s">
        <v>689</v>
      </c>
      <c r="I4" s="319" t="s">
        <v>1020</v>
      </c>
      <c r="J4" s="1600"/>
      <c r="K4" s="1332"/>
    </row>
    <row r="5" spans="1:13" s="1325" customFormat="1" ht="57.6" customHeight="1" thickBot="1" x14ac:dyDescent="0.25">
      <c r="A5" s="313" t="str">
        <f>OF!A50</f>
        <v>OF49</v>
      </c>
      <c r="B5" s="397" t="str">
        <f>OF!C50</f>
        <v>Wetland Vegetated Area (in hectares)</v>
      </c>
      <c r="C5" s="337"/>
      <c r="D5" s="324"/>
      <c r="E5" s="325"/>
      <c r="F5" s="325"/>
      <c r="G5" s="345" t="str">
        <f>IF((WetVegArea=""),"",WetVegArea)</f>
        <v/>
      </c>
      <c r="H5" s="351" t="s">
        <v>656</v>
      </c>
      <c r="I5" s="403" t="s">
        <v>1021</v>
      </c>
      <c r="J5" s="1600"/>
      <c r="K5" s="1332"/>
    </row>
    <row r="6" spans="1:13" s="1" customFormat="1" ht="36" customHeight="1" thickBot="1" x14ac:dyDescent="0.25">
      <c r="A6" s="631" t="s">
        <v>78</v>
      </c>
      <c r="B6" s="629" t="s">
        <v>709</v>
      </c>
      <c r="C6" s="632" t="s">
        <v>708</v>
      </c>
      <c r="D6" s="633" t="s">
        <v>33</v>
      </c>
      <c r="E6" s="634" t="s">
        <v>1131</v>
      </c>
      <c r="F6" s="635" t="s">
        <v>1130</v>
      </c>
      <c r="G6" s="636" t="s">
        <v>710</v>
      </c>
      <c r="H6" s="637" t="s">
        <v>2028</v>
      </c>
      <c r="I6" s="638" t="s">
        <v>917</v>
      </c>
      <c r="J6" s="44"/>
    </row>
    <row r="7" spans="1:13" ht="41.25" customHeight="1" thickBot="1" x14ac:dyDescent="0.25">
      <c r="A7" s="2052" t="str">
        <f>F!A63</f>
        <v>F11</v>
      </c>
      <c r="B7" s="2053" t="str">
        <f>F!B63</f>
        <v>% Bare Ground &amp; Thatch</v>
      </c>
      <c r="C7" s="877" t="str">
        <f>F!C63</f>
        <v>Consider the parts of the AA that lack surface water at the driest time of the growing season.  Viewed from directly above the ground layer, the predominant condition in those areas at that time is:</v>
      </c>
      <c r="D7" s="437"/>
      <c r="E7" s="239"/>
      <c r="F7" s="259"/>
      <c r="G7" s="219">
        <f>MAX(F8:F11)/MAX(E8:E11)</f>
        <v>0</v>
      </c>
      <c r="H7" s="1989" t="s">
        <v>205</v>
      </c>
      <c r="I7" s="2040" t="s">
        <v>16</v>
      </c>
    </row>
    <row r="8" spans="1:13" ht="42" customHeight="1" x14ac:dyDescent="0.2">
      <c r="A8" s="2052"/>
      <c r="B8" s="2053"/>
      <c r="C8" s="426" t="str">
        <f>F!C64</f>
        <v>Little or no (&lt;5%) bare ground is visible between erect stems or under canopy anywhere in the vegetated AA. Ground is extensively blanketed by dense thatch, moss, lichens, graminoids with great stem densities, or plants with ground-hugging foliage. </v>
      </c>
      <c r="D8" s="180">
        <f>F!D64</f>
        <v>0</v>
      </c>
      <c r="E8" s="241">
        <v>5</v>
      </c>
      <c r="F8" s="241">
        <f>D8*E8</f>
        <v>0</v>
      </c>
      <c r="G8" s="202"/>
      <c r="H8" s="1989"/>
      <c r="I8" s="2040"/>
    </row>
    <row r="9" spans="1:13" ht="27" customHeight="1" x14ac:dyDescent="0.2">
      <c r="A9" s="2052"/>
      <c r="B9" s="2053"/>
      <c r="C9" s="362" t="str">
        <f>F!C65</f>
        <v>Slightly bare ground (5-20% bare between plants) is visible in places, but those areas comprise less than 5% of the unflooded parts of the AA.</v>
      </c>
      <c r="D9" s="91">
        <f>F!D65</f>
        <v>0</v>
      </c>
      <c r="E9" s="241">
        <v>4</v>
      </c>
      <c r="F9" s="241">
        <f>D9*E9</f>
        <v>0</v>
      </c>
      <c r="G9" s="257"/>
      <c r="H9" s="1989"/>
      <c r="I9" s="2040"/>
    </row>
    <row r="10" spans="1:13" ht="27" customHeight="1" x14ac:dyDescent="0.2">
      <c r="A10" s="2052"/>
      <c r="B10" s="2053"/>
      <c r="C10" s="362" t="str">
        <f>F!C66</f>
        <v>Much bare ground (20-50% bare between plants) is visible in places, and those areas comprise more than 5% of the unflooded parts of the AA. </v>
      </c>
      <c r="D10" s="91">
        <f>F!D66</f>
        <v>0</v>
      </c>
      <c r="E10" s="241">
        <v>2</v>
      </c>
      <c r="F10" s="241">
        <f>D10*E10</f>
        <v>0</v>
      </c>
      <c r="G10" s="257"/>
      <c r="H10" s="1989"/>
      <c r="I10" s="2040"/>
    </row>
    <row r="11" spans="1:13" ht="15" customHeight="1" thickBot="1" x14ac:dyDescent="0.25">
      <c r="A11" s="2052"/>
      <c r="B11" s="2053"/>
      <c r="C11" s="361" t="str">
        <f>F!C67</f>
        <v>Other conditions.</v>
      </c>
      <c r="D11" s="370">
        <f>F!D67</f>
        <v>0</v>
      </c>
      <c r="E11" s="380">
        <v>0</v>
      </c>
      <c r="F11" s="380">
        <f>D11*E11</f>
        <v>0</v>
      </c>
      <c r="G11" s="433"/>
      <c r="H11" s="1989"/>
      <c r="I11" s="2040"/>
    </row>
    <row r="12" spans="1:13" ht="66" customHeight="1" thickBot="1" x14ac:dyDescent="0.25">
      <c r="A12" s="1992" t="str">
        <f>F!A69</f>
        <v>F12</v>
      </c>
      <c r="B12" s="1867" t="str">
        <f>F!B69</f>
        <v>Ground Irregularity</v>
      </c>
      <c r="C12" s="90" t="str">
        <f>F!C69</f>
        <v>Consider the parts of the AA that lack surface water at some time of the year.  The number of hummocks, small pits, raised mounds, upturned trees, animal burrows, gullies, natural levees, microdepressions, and other areas of peat or mineral soil that are raised or depressed &gt;10 cm compared to most of the area immediately surrounding them is:</v>
      </c>
      <c r="D12" s="372"/>
      <c r="E12" s="376"/>
      <c r="F12" s="262"/>
      <c r="G12" s="225">
        <f>MAX(F13:F15)/MAX(E13:E15)</f>
        <v>0</v>
      </c>
      <c r="H12" s="2000" t="s">
        <v>206</v>
      </c>
      <c r="I12" s="2011" t="s">
        <v>17</v>
      </c>
    </row>
    <row r="13" spans="1:13" ht="28.5" customHeight="1" x14ac:dyDescent="0.2">
      <c r="A13" s="1991"/>
      <c r="B13" s="1911"/>
      <c r="C13" s="426" t="str">
        <f>F!C70</f>
        <v xml:space="preserve">Few or none (minimal microtopography; &lt;1% of the land has such features, or entire site is always water-covered). </v>
      </c>
      <c r="D13" s="354">
        <f>F!D70</f>
        <v>0</v>
      </c>
      <c r="E13" s="377">
        <v>0</v>
      </c>
      <c r="F13" s="377">
        <f>D13*E13</f>
        <v>0</v>
      </c>
      <c r="G13" s="202"/>
      <c r="H13" s="1989"/>
      <c r="I13" s="2040"/>
    </row>
    <row r="14" spans="1:13" ht="15" customHeight="1" x14ac:dyDescent="0.2">
      <c r="A14" s="1991"/>
      <c r="B14" s="1911"/>
      <c r="C14" s="362" t="str">
        <f>F!C71</f>
        <v>Intermediate.</v>
      </c>
      <c r="D14" s="354">
        <f>F!D71</f>
        <v>0</v>
      </c>
      <c r="E14" s="377">
        <v>1</v>
      </c>
      <c r="F14" s="377">
        <f>D14*E14</f>
        <v>0</v>
      </c>
      <c r="G14" s="257"/>
      <c r="H14" s="1989"/>
      <c r="I14" s="2040"/>
    </row>
    <row r="15" spans="1:13" ht="15" customHeight="1" thickBot="1" x14ac:dyDescent="0.25">
      <c r="A15" s="1991"/>
      <c r="B15" s="1911"/>
      <c r="C15" s="747" t="str">
        <f>F!C72</f>
        <v>Several (extensive micro-topography).</v>
      </c>
      <c r="D15" s="370">
        <f>F!D72</f>
        <v>0</v>
      </c>
      <c r="E15" s="380">
        <v>2</v>
      </c>
      <c r="F15" s="380">
        <f>D15*E15</f>
        <v>0</v>
      </c>
      <c r="G15" s="721"/>
      <c r="H15" s="1989"/>
      <c r="I15" s="2040"/>
    </row>
    <row r="16" spans="1:13" ht="30" customHeight="1" thickBot="1" x14ac:dyDescent="0.25">
      <c r="A16" s="1992" t="str">
        <f>F!A142</f>
        <v>F27</v>
      </c>
      <c r="B16" s="1867" t="str">
        <f>F!B142</f>
        <v>% Flooded Only Seasonally</v>
      </c>
      <c r="C16" s="90" t="str">
        <f>F!C142</f>
        <v>The percentage of the AA that is covered by unfrozen surface water only during the wettest time of the year is:</v>
      </c>
      <c r="D16" s="282"/>
      <c r="E16" s="376"/>
      <c r="F16" s="262"/>
      <c r="G16" s="225">
        <f>IF((AllSat1&gt;0),"",MAX(F17:F21)/MAX(E17:E21))</f>
        <v>0</v>
      </c>
      <c r="H16" s="2000" t="s">
        <v>198</v>
      </c>
      <c r="I16" s="2011" t="s">
        <v>1022</v>
      </c>
    </row>
    <row r="17" spans="1:10" ht="15" customHeight="1" x14ac:dyDescent="0.2">
      <c r="A17" s="1991"/>
      <c r="B17" s="1911"/>
      <c r="C17" s="888" t="str">
        <f>F!C143</f>
        <v xml:space="preserve">None, or &lt;0.01 hectare and &lt;1% of the AA. </v>
      </c>
      <c r="D17" s="733">
        <f>F!D143</f>
        <v>0</v>
      </c>
      <c r="E17" s="722">
        <v>0</v>
      </c>
      <c r="F17" s="722">
        <f>D17*E17</f>
        <v>0</v>
      </c>
      <c r="G17" s="202"/>
      <c r="H17" s="1989"/>
      <c r="I17" s="2040"/>
    </row>
    <row r="18" spans="1:10" ht="15" customHeight="1" x14ac:dyDescent="0.2">
      <c r="A18" s="1991"/>
      <c r="B18" s="1911"/>
      <c r="C18" s="889" t="str">
        <f>F!C144</f>
        <v xml:space="preserve">1-25% </v>
      </c>
      <c r="D18" s="733">
        <f>F!D144</f>
        <v>0</v>
      </c>
      <c r="E18" s="722">
        <v>1</v>
      </c>
      <c r="F18" s="722">
        <f>D18*E18</f>
        <v>0</v>
      </c>
      <c r="G18" s="775"/>
      <c r="H18" s="1989"/>
      <c r="I18" s="2040"/>
    </row>
    <row r="19" spans="1:10" ht="15" customHeight="1" x14ac:dyDescent="0.2">
      <c r="A19" s="1991"/>
      <c r="B19" s="1911"/>
      <c r="C19" s="889" t="str">
        <f>F!C145</f>
        <v xml:space="preserve">25-50% </v>
      </c>
      <c r="D19" s="733">
        <f>F!D145</f>
        <v>0</v>
      </c>
      <c r="E19" s="722">
        <v>2</v>
      </c>
      <c r="F19" s="722">
        <f>D19*E19</f>
        <v>0</v>
      </c>
      <c r="G19" s="775"/>
      <c r="H19" s="1989"/>
      <c r="I19" s="2040"/>
    </row>
    <row r="20" spans="1:10" ht="15" customHeight="1" x14ac:dyDescent="0.2">
      <c r="A20" s="1991"/>
      <c r="B20" s="1911"/>
      <c r="C20" s="889" t="str">
        <f>F!C146</f>
        <v xml:space="preserve">50-95% </v>
      </c>
      <c r="D20" s="733">
        <f>F!D146</f>
        <v>0</v>
      </c>
      <c r="E20" s="722">
        <v>3</v>
      </c>
      <c r="F20" s="722">
        <f>D20*E20</f>
        <v>0</v>
      </c>
      <c r="G20" s="775"/>
      <c r="H20" s="1989"/>
      <c r="I20" s="2040"/>
    </row>
    <row r="21" spans="1:10" ht="15" customHeight="1" thickBot="1" x14ac:dyDescent="0.25">
      <c r="A21" s="1993"/>
      <c r="B21" s="1978"/>
      <c r="C21" s="82" t="str">
        <f>F!C147</f>
        <v xml:space="preserve">&gt;95% </v>
      </c>
      <c r="D21" s="94">
        <f>F!D147</f>
        <v>0</v>
      </c>
      <c r="E21" s="244">
        <v>4</v>
      </c>
      <c r="F21" s="244">
        <f>D21*E21</f>
        <v>0</v>
      </c>
      <c r="G21" s="258"/>
      <c r="H21" s="1990"/>
      <c r="I21" s="2041"/>
    </row>
    <row r="22" spans="1:10" s="6" customFormat="1" ht="30" customHeight="1" thickBot="1" x14ac:dyDescent="0.25">
      <c r="A22" s="2078" t="str">
        <f>F!A148</f>
        <v>F28</v>
      </c>
      <c r="B22" s="2080" t="str">
        <f>F!B148</f>
        <v>Annual Water Fluctuation Range</v>
      </c>
      <c r="C22" s="1443" t="str">
        <f>F!C148</f>
        <v>The annual fluctuation in surface water level within most of the parts of the AA that contain surface water is:</v>
      </c>
      <c r="D22" s="372"/>
      <c r="E22" s="376"/>
      <c r="F22" s="376"/>
      <c r="G22" s="225">
        <f>IF((AllSat1&gt;0),"",IF((NoSeasonal=1),"",MAX(F23:F27)/MAX(E23:E27)))</f>
        <v>0</v>
      </c>
      <c r="H22" s="1867" t="s">
        <v>197</v>
      </c>
      <c r="I22" s="2011" t="s">
        <v>1144</v>
      </c>
      <c r="J22" s="137"/>
    </row>
    <row r="23" spans="1:10" s="6" customFormat="1" ht="15" customHeight="1" x14ac:dyDescent="0.2">
      <c r="A23" s="2039"/>
      <c r="B23" s="2081"/>
      <c r="C23" s="1454" t="str">
        <f>F!C149</f>
        <v xml:space="preserve">&lt;10 cm change (stable or nearly so) </v>
      </c>
      <c r="D23" s="431">
        <f>F!D149</f>
        <v>0</v>
      </c>
      <c r="E23" s="377">
        <v>1</v>
      </c>
      <c r="F23" s="377">
        <f>D23*E23</f>
        <v>0</v>
      </c>
      <c r="G23" s="257"/>
      <c r="H23" s="1911"/>
      <c r="I23" s="2040"/>
      <c r="J23" s="137"/>
    </row>
    <row r="24" spans="1:10" s="6" customFormat="1" ht="15" customHeight="1" x14ac:dyDescent="0.2">
      <c r="A24" s="2039"/>
      <c r="B24" s="2081"/>
      <c r="C24" s="1607" t="str">
        <f>F!C150</f>
        <v>10 cm - 50 cm change</v>
      </c>
      <c r="D24" s="431">
        <f>F!D150</f>
        <v>0</v>
      </c>
      <c r="E24" s="377">
        <v>2</v>
      </c>
      <c r="F24" s="377">
        <f>D24*E24</f>
        <v>0</v>
      </c>
      <c r="G24" s="257"/>
      <c r="H24" s="1911"/>
      <c r="I24" s="2040"/>
      <c r="J24" s="137"/>
    </row>
    <row r="25" spans="1:10" s="6" customFormat="1" ht="15" customHeight="1" x14ac:dyDescent="0.2">
      <c r="A25" s="2039"/>
      <c r="B25" s="2081"/>
      <c r="C25" s="1607" t="str">
        <f>F!C151</f>
        <v>0.5 - 1 m change</v>
      </c>
      <c r="D25" s="431">
        <f>F!D151</f>
        <v>0</v>
      </c>
      <c r="E25" s="722">
        <v>3</v>
      </c>
      <c r="F25" s="722">
        <f>D25*E25</f>
        <v>0</v>
      </c>
      <c r="G25" s="775"/>
      <c r="H25" s="1911"/>
      <c r="I25" s="2040"/>
      <c r="J25" s="137"/>
    </row>
    <row r="26" spans="1:10" s="6" customFormat="1" ht="15" customHeight="1" x14ac:dyDescent="0.2">
      <c r="A26" s="2039"/>
      <c r="B26" s="2081"/>
      <c r="C26" s="1607" t="str">
        <f>F!C152</f>
        <v>1-2 m change</v>
      </c>
      <c r="D26" s="431">
        <f>F!D152</f>
        <v>0</v>
      </c>
      <c r="E26" s="377">
        <v>4</v>
      </c>
      <c r="F26" s="377">
        <f>D26*E26</f>
        <v>0</v>
      </c>
      <c r="G26" s="257"/>
      <c r="H26" s="1911"/>
      <c r="I26" s="2040"/>
      <c r="J26" s="137"/>
    </row>
    <row r="27" spans="1:10" s="6" customFormat="1" ht="15" customHeight="1" thickBot="1" x14ac:dyDescent="0.25">
      <c r="A27" s="2079"/>
      <c r="B27" s="2082"/>
      <c r="C27" s="1446" t="str">
        <f>F!C153</f>
        <v>&gt;2 m change</v>
      </c>
      <c r="D27" s="102">
        <f>F!D153</f>
        <v>0</v>
      </c>
      <c r="E27" s="244">
        <v>5</v>
      </c>
      <c r="F27" s="244">
        <f>D27*E27</f>
        <v>0</v>
      </c>
      <c r="G27" s="258"/>
      <c r="H27" s="1978"/>
      <c r="I27" s="2041"/>
      <c r="J27" s="137"/>
    </row>
    <row r="28" spans="1:10" ht="57" customHeight="1" thickBot="1" x14ac:dyDescent="0.25">
      <c r="A28" s="2075" t="str">
        <f>F!A155</f>
        <v>F29</v>
      </c>
      <c r="B28" s="2053" t="str">
        <f>F!B155</f>
        <v>Predominant Depth Class</v>
      </c>
      <c r="C28" s="877" t="str">
        <f>F!C155</f>
        <v>During most of the time when water is present, its depth in most of the area is: [Note: This is not asking for the maximum depth]. If a ponded body of open water that adjoins the AA is larger than 8 ha, include its waters in this estimate, but only those waters within a distance from the AA that is equal to the vegetated AA's width]</v>
      </c>
      <c r="D28" s="437"/>
      <c r="E28" s="239"/>
      <c r="F28" s="259"/>
      <c r="G28" s="231">
        <f>IF((AllSat1&gt;0),"", IF((SmallAA=1),"", MAX(F29:F33)/MAX(E29:E33)))</f>
        <v>0</v>
      </c>
      <c r="H28" s="1989" t="s">
        <v>199</v>
      </c>
      <c r="I28" s="2040" t="s">
        <v>1346</v>
      </c>
    </row>
    <row r="29" spans="1:10" ht="15" customHeight="1" x14ac:dyDescent="0.2">
      <c r="A29" s="2075"/>
      <c r="B29" s="2053"/>
      <c r="C29" s="426" t="str">
        <f>F!C156</f>
        <v>&lt;10 cm deep (but &gt;0).</v>
      </c>
      <c r="D29" s="40">
        <f>F!D156</f>
        <v>0</v>
      </c>
      <c r="E29" s="241">
        <v>1</v>
      </c>
      <c r="F29" s="241">
        <f>D29*E29</f>
        <v>0</v>
      </c>
      <c r="G29" s="202"/>
      <c r="H29" s="1989"/>
      <c r="I29" s="2040"/>
    </row>
    <row r="30" spans="1:10" ht="15" customHeight="1" x14ac:dyDescent="0.2">
      <c r="A30" s="2075"/>
      <c r="B30" s="2053"/>
      <c r="C30" s="362" t="str">
        <f>F!C157</f>
        <v>10 - 50 cm deep.</v>
      </c>
      <c r="D30" s="40">
        <f>F!D157</f>
        <v>0</v>
      </c>
      <c r="E30" s="241">
        <v>2</v>
      </c>
      <c r="F30" s="241">
        <f>D30*E30</f>
        <v>0</v>
      </c>
      <c r="G30" s="257"/>
      <c r="H30" s="1989"/>
      <c r="I30" s="2040"/>
    </row>
    <row r="31" spans="1:10" ht="15" customHeight="1" x14ac:dyDescent="0.2">
      <c r="A31" s="2075"/>
      <c r="B31" s="2053"/>
      <c r="C31" s="362" t="str">
        <f>F!C158</f>
        <v>0.5 - 1 m deep.</v>
      </c>
      <c r="D31" s="40">
        <f>F!D158</f>
        <v>0</v>
      </c>
      <c r="E31" s="241">
        <v>3</v>
      </c>
      <c r="F31" s="241">
        <f>D31*E31</f>
        <v>0</v>
      </c>
      <c r="G31" s="257"/>
      <c r="H31" s="1989"/>
      <c r="I31" s="2040"/>
    </row>
    <row r="32" spans="1:10" ht="15" customHeight="1" x14ac:dyDescent="0.2">
      <c r="A32" s="2075"/>
      <c r="B32" s="2053"/>
      <c r="C32" s="362" t="str">
        <f>F!C159</f>
        <v>1 - 2 m deep.</v>
      </c>
      <c r="D32" s="40">
        <f>F!D159</f>
        <v>0</v>
      </c>
      <c r="E32" s="241">
        <v>4</v>
      </c>
      <c r="F32" s="241">
        <f>D32*E32</f>
        <v>0</v>
      </c>
      <c r="G32" s="257"/>
      <c r="H32" s="1989"/>
      <c r="I32" s="2040"/>
    </row>
    <row r="33" spans="1:13" ht="15" customHeight="1" thickBot="1" x14ac:dyDescent="0.25">
      <c r="A33" s="2075"/>
      <c r="B33" s="2053"/>
      <c r="C33" s="361" t="str">
        <f>F!C160</f>
        <v>&gt;2 m deep.  True for many fringe wetlands.</v>
      </c>
      <c r="D33" s="370">
        <f>F!D160</f>
        <v>0</v>
      </c>
      <c r="E33" s="380">
        <v>5</v>
      </c>
      <c r="F33" s="380">
        <f>D33*E33</f>
        <v>0</v>
      </c>
      <c r="G33" s="433"/>
      <c r="H33" s="1989"/>
      <c r="I33" s="2040"/>
    </row>
    <row r="34" spans="1:13" s="6" customFormat="1" ht="45" customHeight="1" thickBot="1" x14ac:dyDescent="0.25">
      <c r="A34" s="1979" t="str">
        <f>F!A165</f>
        <v>F31</v>
      </c>
      <c r="B34" s="1984" t="str">
        <f>F!B165</f>
        <v xml:space="preserve">% of Water Ponded vs. Flowing </v>
      </c>
      <c r="C34" s="90" t="str">
        <f>F!C165</f>
        <v>The percentage of the AA's surface water that is ponded (stagnant, or flows so slowly that fine sediment is not held in suspension) during most of the time it is present during the growing season, and which is either open or shaded by emergent vegetation, is:</v>
      </c>
      <c r="D34" s="777"/>
      <c r="E34" s="376"/>
      <c r="F34" s="262"/>
      <c r="G34" s="225">
        <f>IF((AllSat1&gt;0),"", IF((SmallAA=1),"", MAX(F35:F40)/MAX(E35:E40)))</f>
        <v>0</v>
      </c>
      <c r="H34" s="1867" t="s">
        <v>790</v>
      </c>
      <c r="I34" s="2011" t="s">
        <v>1025</v>
      </c>
      <c r="J34" s="137"/>
    </row>
    <row r="35" spans="1:13" s="6" customFormat="1" ht="27" customHeight="1" x14ac:dyDescent="0.2">
      <c r="A35" s="2035"/>
      <c r="B35" s="1989"/>
      <c r="C35" s="888" t="str">
        <f>F!C166</f>
        <v>None, or &lt;0.01 hectare and &lt;1% of the AA. Nearly all water is flowing.  Enter "1" and SKIP to F43 (pH measurement).</v>
      </c>
      <c r="D35" s="733">
        <f>F!D166</f>
        <v>0</v>
      </c>
      <c r="E35" s="722">
        <v>0</v>
      </c>
      <c r="F35" s="722">
        <f t="shared" ref="F35:F40" si="0">D35*E35</f>
        <v>0</v>
      </c>
      <c r="G35" s="775"/>
      <c r="H35" s="1911"/>
      <c r="I35" s="2063"/>
      <c r="J35" s="137"/>
    </row>
    <row r="36" spans="1:13" s="6" customFormat="1" ht="15" customHeight="1" x14ac:dyDescent="0.2">
      <c r="A36" s="2035"/>
      <c r="B36" s="1989"/>
      <c r="C36" s="888" t="str">
        <f>F!C167</f>
        <v>1-5% of the water.  The rest is flowing.</v>
      </c>
      <c r="D36" s="733">
        <f>F!D167</f>
        <v>0</v>
      </c>
      <c r="E36" s="722">
        <v>2</v>
      </c>
      <c r="F36" s="722">
        <f t="shared" si="0"/>
        <v>0</v>
      </c>
      <c r="G36" s="775"/>
      <c r="H36" s="1911"/>
      <c r="I36" s="2063"/>
      <c r="J36" s="137"/>
    </row>
    <row r="37" spans="1:13" s="6" customFormat="1" ht="15" customHeight="1" x14ac:dyDescent="0.2">
      <c r="A37" s="2035"/>
      <c r="B37" s="1989"/>
      <c r="C37" s="888" t="str">
        <f>F!C168</f>
        <v>5-30% of the water.</v>
      </c>
      <c r="D37" s="733">
        <f>F!D168</f>
        <v>0</v>
      </c>
      <c r="E37" s="722">
        <v>3</v>
      </c>
      <c r="F37" s="722">
        <f t="shared" si="0"/>
        <v>0</v>
      </c>
      <c r="G37" s="775"/>
      <c r="H37" s="1911"/>
      <c r="I37" s="2063"/>
      <c r="J37" s="137"/>
    </row>
    <row r="38" spans="1:13" s="6" customFormat="1" ht="15" customHeight="1" x14ac:dyDescent="0.2">
      <c r="A38" s="2035"/>
      <c r="B38" s="1989"/>
      <c r="C38" s="888" t="str">
        <f>F!C169</f>
        <v>30-70% of the water.</v>
      </c>
      <c r="D38" s="733">
        <f>F!D169</f>
        <v>0</v>
      </c>
      <c r="E38" s="722">
        <v>4</v>
      </c>
      <c r="F38" s="722">
        <f t="shared" si="0"/>
        <v>0</v>
      </c>
      <c r="G38" s="775"/>
      <c r="H38" s="1911"/>
      <c r="I38" s="2063"/>
      <c r="J38" s="137"/>
    </row>
    <row r="39" spans="1:13" s="6" customFormat="1" ht="15" customHeight="1" x14ac:dyDescent="0.2">
      <c r="A39" s="2035"/>
      <c r="B39" s="1989"/>
      <c r="C39" s="888" t="str">
        <f>F!C170</f>
        <v>70-99% of the water.</v>
      </c>
      <c r="D39" s="733">
        <f>F!D170</f>
        <v>0</v>
      </c>
      <c r="E39" s="722">
        <v>5</v>
      </c>
      <c r="F39" s="722">
        <f t="shared" si="0"/>
        <v>0</v>
      </c>
      <c r="G39" s="721"/>
      <c r="H39" s="1911"/>
      <c r="I39" s="2063"/>
      <c r="J39" s="137"/>
    </row>
    <row r="40" spans="1:13" s="6" customFormat="1" ht="15" customHeight="1" thickBot="1" x14ac:dyDescent="0.25">
      <c r="A40" s="2037"/>
      <c r="B40" s="1990"/>
      <c r="C40" s="901" t="str">
        <f>F!C171</f>
        <v>&gt;99% of the water.  Little or no visibly flowing water within the AA.</v>
      </c>
      <c r="D40" s="94">
        <f>F!D171</f>
        <v>0</v>
      </c>
      <c r="E40" s="244">
        <v>6</v>
      </c>
      <c r="F40" s="244">
        <f t="shared" si="0"/>
        <v>0</v>
      </c>
      <c r="G40" s="258"/>
      <c r="H40" s="1978"/>
      <c r="I40" s="2042"/>
      <c r="J40" s="137"/>
    </row>
    <row r="41" spans="1:13" ht="39" thickBot="1" x14ac:dyDescent="0.25">
      <c r="A41" s="1979" t="str">
        <f>F!A173</f>
        <v>F33</v>
      </c>
      <c r="B41" s="1984" t="str">
        <f>F!B173</f>
        <v xml:space="preserve">% of Ponded Water That Is Open </v>
      </c>
      <c r="C41" s="450" t="str">
        <f>F!C173</f>
        <v>In ducks-eye aerial view, the percentage of the ponded water that is open (lacking emergent vegetation during most of the growing season, and unhidden by a forest or shrub canopy) is:</v>
      </c>
      <c r="D41" s="282"/>
      <c r="E41" s="376"/>
      <c r="F41" s="262"/>
      <c r="G41" s="225">
        <f>IF((AllSat1&gt;0),"", IF((NoPonded=1),"", IF((SmallAA=1), "", MAX(F42:F47)/MAX(E42:E47))))</f>
        <v>0</v>
      </c>
      <c r="H41" s="2000" t="s">
        <v>791</v>
      </c>
      <c r="I41" s="2011" t="s">
        <v>1145</v>
      </c>
      <c r="M41" s="6"/>
    </row>
    <row r="42" spans="1:13" ht="27" customHeight="1" x14ac:dyDescent="0.2">
      <c r="A42" s="1980"/>
      <c r="B42" s="1985"/>
      <c r="C42" s="1608" t="str">
        <f>F!C174</f>
        <v>None, or &lt;1% of the AA and largest pool occupies &lt;0.01 hectares.  Enter "1" and SKIP to F41 (Floating Algae &amp; Duckweed).</v>
      </c>
      <c r="D42" s="763">
        <f>F!D174</f>
        <v>0</v>
      </c>
      <c r="E42" s="722">
        <v>5</v>
      </c>
      <c r="F42" s="722">
        <f t="shared" ref="F42:F47" si="1">D42*E42</f>
        <v>0</v>
      </c>
      <c r="G42" s="202"/>
      <c r="H42" s="1989"/>
      <c r="I42" s="2040"/>
    </row>
    <row r="43" spans="1:13" ht="15" customHeight="1" x14ac:dyDescent="0.2">
      <c r="A43" s="1980"/>
      <c r="B43" s="1985"/>
      <c r="C43" s="1609" t="str">
        <f>F!C175</f>
        <v>1-5% of the ponded water.  Enter "1" and SKIP to F41.</v>
      </c>
      <c r="D43" s="763">
        <f>F!D175</f>
        <v>0</v>
      </c>
      <c r="E43" s="722">
        <v>4</v>
      </c>
      <c r="F43" s="722">
        <f t="shared" si="1"/>
        <v>0</v>
      </c>
      <c r="G43" s="775"/>
      <c r="H43" s="1989"/>
      <c r="I43" s="2040"/>
    </row>
    <row r="44" spans="1:13" ht="15" customHeight="1" x14ac:dyDescent="0.2">
      <c r="A44" s="1980"/>
      <c r="B44" s="1985"/>
      <c r="C44" s="1609" t="str">
        <f>F!C176</f>
        <v>5-30% of the ponded water.</v>
      </c>
      <c r="D44" s="763">
        <f>F!D176</f>
        <v>0</v>
      </c>
      <c r="E44" s="722">
        <v>3</v>
      </c>
      <c r="F44" s="722">
        <f t="shared" si="1"/>
        <v>0</v>
      </c>
      <c r="G44" s="775"/>
      <c r="H44" s="1989"/>
      <c r="I44" s="2040"/>
    </row>
    <row r="45" spans="1:13" ht="15" customHeight="1" x14ac:dyDescent="0.2">
      <c r="A45" s="1980"/>
      <c r="B45" s="1985"/>
      <c r="C45" s="1609" t="str">
        <f>F!C177</f>
        <v>30-70% of the ponded water.</v>
      </c>
      <c r="D45" s="763">
        <f>F!D177</f>
        <v>0</v>
      </c>
      <c r="E45" s="722">
        <v>2</v>
      </c>
      <c r="F45" s="722">
        <f t="shared" si="1"/>
        <v>0</v>
      </c>
      <c r="G45" s="775"/>
      <c r="H45" s="1989"/>
      <c r="I45" s="2040"/>
    </row>
    <row r="46" spans="1:13" ht="15" customHeight="1" x14ac:dyDescent="0.2">
      <c r="A46" s="1980"/>
      <c r="B46" s="1985"/>
      <c r="C46" s="1609" t="str">
        <f>F!C178</f>
        <v>70-99% of the ponded water.</v>
      </c>
      <c r="D46" s="763">
        <f>F!D178</f>
        <v>0</v>
      </c>
      <c r="E46" s="722">
        <v>1</v>
      </c>
      <c r="F46" s="722">
        <f t="shared" si="1"/>
        <v>0</v>
      </c>
      <c r="G46" s="775"/>
      <c r="H46" s="1989"/>
      <c r="I46" s="2040"/>
    </row>
    <row r="47" spans="1:13" ht="15" customHeight="1" thickBot="1" x14ac:dyDescent="0.25">
      <c r="A47" s="2021"/>
      <c r="B47" s="2005"/>
      <c r="C47" s="478" t="str">
        <f>F!C179</f>
        <v xml:space="preserve">100% of the ponded water. </v>
      </c>
      <c r="D47" s="191">
        <f>F!D179</f>
        <v>0</v>
      </c>
      <c r="E47" s="244">
        <v>0</v>
      </c>
      <c r="F47" s="244">
        <f t="shared" si="1"/>
        <v>0</v>
      </c>
      <c r="G47" s="258"/>
      <c r="H47" s="1990"/>
      <c r="I47" s="2041"/>
    </row>
    <row r="48" spans="1:13" ht="48" customHeight="1" thickBot="1" x14ac:dyDescent="0.25">
      <c r="A48" s="2046" t="str">
        <f>F!A180</f>
        <v>F34</v>
      </c>
      <c r="B48" s="2054" t="str">
        <f>F!B180</f>
        <v>Predominant Width of Vegetated Zone within Wetland</v>
      </c>
      <c r="C48" s="877" t="str">
        <f>F!C180</f>
        <v>At the time during the growing season when the AA's water level is lowest, the average width of vegetated area in the AA that separates adjoining uplands from open water within the AA is:</v>
      </c>
      <c r="D48" s="437"/>
      <c r="E48" s="239"/>
      <c r="F48" s="259"/>
      <c r="G48" s="219" t="str">
        <f>IF((AllSat1&gt;0),"",IF((OpenW=0),"", IF((SmallAA=1),"", MAX(F49:F53)/MAX(E49:E53))))</f>
        <v/>
      </c>
      <c r="H48" s="1989" t="s">
        <v>201</v>
      </c>
      <c r="I48" s="2040" t="s">
        <v>1024</v>
      </c>
    </row>
    <row r="49" spans="1:70" ht="21" customHeight="1" x14ac:dyDescent="0.2">
      <c r="A49" s="2047"/>
      <c r="B49" s="2055"/>
      <c r="C49" s="426" t="str">
        <f>F!C181</f>
        <v>&lt;1 m</v>
      </c>
      <c r="D49" s="91">
        <f>F!D181</f>
        <v>0</v>
      </c>
      <c r="E49" s="241">
        <v>0</v>
      </c>
      <c r="F49" s="241">
        <f>D49*E49</f>
        <v>0</v>
      </c>
      <c r="G49" s="202"/>
      <c r="H49" s="1989"/>
      <c r="I49" s="2040"/>
    </row>
    <row r="50" spans="1:70" ht="21" customHeight="1" x14ac:dyDescent="0.2">
      <c r="A50" s="2047"/>
      <c r="B50" s="2055"/>
      <c r="C50" s="362" t="str">
        <f>F!C182</f>
        <v>1 - 9 m</v>
      </c>
      <c r="D50" s="91">
        <f>F!D182</f>
        <v>0</v>
      </c>
      <c r="E50" s="241">
        <v>2</v>
      </c>
      <c r="F50" s="241">
        <f>D50*E50</f>
        <v>0</v>
      </c>
      <c r="G50" s="257"/>
      <c r="H50" s="1989"/>
      <c r="I50" s="2040"/>
    </row>
    <row r="51" spans="1:70" ht="21" customHeight="1" x14ac:dyDescent="0.2">
      <c r="A51" s="2047"/>
      <c r="B51" s="2055"/>
      <c r="C51" s="362" t="str">
        <f>F!C183</f>
        <v>10 - 29 m</v>
      </c>
      <c r="D51" s="91">
        <f>F!D183</f>
        <v>0</v>
      </c>
      <c r="E51" s="241">
        <v>3</v>
      </c>
      <c r="F51" s="241">
        <f>D51*E51</f>
        <v>0</v>
      </c>
      <c r="G51" s="257"/>
      <c r="H51" s="1989"/>
      <c r="I51" s="2040"/>
    </row>
    <row r="52" spans="1:70" ht="21" customHeight="1" x14ac:dyDescent="0.2">
      <c r="A52" s="2047"/>
      <c r="B52" s="2055"/>
      <c r="C52" s="362" t="str">
        <f>F!C184</f>
        <v>30 - 49 m</v>
      </c>
      <c r="D52" s="91">
        <f>F!D184</f>
        <v>0</v>
      </c>
      <c r="E52" s="241">
        <v>4</v>
      </c>
      <c r="F52" s="241">
        <f>D52*E52</f>
        <v>0</v>
      </c>
      <c r="G52" s="257"/>
      <c r="H52" s="1989"/>
      <c r="I52" s="2040"/>
    </row>
    <row r="53" spans="1:70" ht="26.25" customHeight="1" thickBot="1" x14ac:dyDescent="0.25">
      <c r="A53" s="2048"/>
      <c r="B53" s="2056"/>
      <c r="C53" s="361" t="str">
        <f>F!C186</f>
        <v>&gt; 100 m</v>
      </c>
      <c r="D53" s="370">
        <f>F!D186</f>
        <v>0</v>
      </c>
      <c r="E53" s="380">
        <v>5</v>
      </c>
      <c r="F53" s="380">
        <f>D53*E53</f>
        <v>0</v>
      </c>
      <c r="G53" s="433"/>
      <c r="H53" s="1989"/>
      <c r="I53" s="2040"/>
    </row>
    <row r="54" spans="1:70" ht="78.75" customHeight="1" thickBot="1" x14ac:dyDescent="0.25">
      <c r="A54" s="1992" t="str">
        <f>F!A187</f>
        <v>F35</v>
      </c>
      <c r="B54" s="1867" t="str">
        <f>F!B187</f>
        <v>Flat Shoreline Extent</v>
      </c>
      <c r="C54" s="90" t="str">
        <f>F!C187</f>
        <v>During most of the part of the growing season when water is present, the percentage of the AA's water edge length that is  nearly flat (a slope less than about 5% measured within 5 m landward) is:</v>
      </c>
      <c r="D54" s="372"/>
      <c r="E54" s="376"/>
      <c r="F54" s="376"/>
      <c r="G54" s="232" t="str">
        <f>IF((AllSat1&gt;0),"",IF((OpenW=0),"", IF((SmallAA=1),"", MAX(F55:F59)/MAX(E55:E59))))</f>
        <v/>
      </c>
      <c r="H54" s="2000" t="s">
        <v>200</v>
      </c>
      <c r="I54" s="2011" t="s">
        <v>1023</v>
      </c>
    </row>
    <row r="55" spans="1:70" ht="15" customHeight="1" x14ac:dyDescent="0.2">
      <c r="A55" s="1991"/>
      <c r="B55" s="1911"/>
      <c r="C55" s="426" t="str">
        <f>F!C188</f>
        <v>&lt;1%</v>
      </c>
      <c r="D55" s="354">
        <f>F!D188</f>
        <v>0</v>
      </c>
      <c r="E55" s="377">
        <v>0</v>
      </c>
      <c r="F55" s="380">
        <f>D55*E55</f>
        <v>0</v>
      </c>
      <c r="G55" s="257"/>
      <c r="H55" s="1989"/>
      <c r="I55" s="2040"/>
    </row>
    <row r="56" spans="1:70" ht="15" customHeight="1" x14ac:dyDescent="0.2">
      <c r="A56" s="1991"/>
      <c r="B56" s="1911"/>
      <c r="C56" s="362" t="str">
        <f>F!C189</f>
        <v>1-25%</v>
      </c>
      <c r="D56" s="354">
        <f>F!D189</f>
        <v>0</v>
      </c>
      <c r="E56" s="377">
        <v>1</v>
      </c>
      <c r="F56" s="380">
        <f>D56*E56</f>
        <v>0</v>
      </c>
      <c r="G56" s="257"/>
      <c r="H56" s="1989"/>
      <c r="I56" s="2040"/>
    </row>
    <row r="57" spans="1:70" ht="15" customHeight="1" x14ac:dyDescent="0.2">
      <c r="A57" s="1991"/>
      <c r="B57" s="1911"/>
      <c r="C57" s="362" t="str">
        <f>F!C190</f>
        <v>25-50%</v>
      </c>
      <c r="D57" s="354">
        <f>F!D190</f>
        <v>0</v>
      </c>
      <c r="E57" s="377">
        <v>2</v>
      </c>
      <c r="F57" s="380">
        <f>D57*E57</f>
        <v>0</v>
      </c>
      <c r="G57" s="257"/>
      <c r="H57" s="1989"/>
      <c r="I57" s="2040"/>
    </row>
    <row r="58" spans="1:70" ht="15" customHeight="1" x14ac:dyDescent="0.2">
      <c r="A58" s="1991"/>
      <c r="B58" s="1911"/>
      <c r="C58" s="362" t="str">
        <f>F!C191</f>
        <v>50-75%</v>
      </c>
      <c r="D58" s="354">
        <f>F!D191</f>
        <v>0</v>
      </c>
      <c r="E58" s="377">
        <v>3</v>
      </c>
      <c r="F58" s="380">
        <f>D58*E58</f>
        <v>0</v>
      </c>
      <c r="G58" s="257"/>
      <c r="H58" s="1989"/>
      <c r="I58" s="2040"/>
    </row>
    <row r="59" spans="1:70" ht="15" customHeight="1" thickBot="1" x14ac:dyDescent="0.25">
      <c r="A59" s="1993"/>
      <c r="B59" s="1978"/>
      <c r="C59" s="82" t="str">
        <f>F!C192</f>
        <v>&gt;75%</v>
      </c>
      <c r="D59" s="94">
        <f>F!D192</f>
        <v>0</v>
      </c>
      <c r="E59" s="244">
        <v>4</v>
      </c>
      <c r="F59" s="244">
        <f>D59*E59</f>
        <v>0</v>
      </c>
      <c r="G59" s="258"/>
      <c r="H59" s="1990"/>
      <c r="I59" s="2041"/>
    </row>
    <row r="60" spans="1:70" ht="30" customHeight="1" thickBot="1" x14ac:dyDescent="0.25">
      <c r="A60" s="2070" t="str">
        <f>F!A199</f>
        <v>F37</v>
      </c>
      <c r="B60" s="2064" t="str">
        <f>F!B199</f>
        <v>Interspersion of Robust Emergents &amp; Open Water</v>
      </c>
      <c r="C60" s="450" t="str">
        <f>F!C199</f>
        <v>During most of the part of the growing season when water is present, the spatial pattern of robust herbaceous vegetation (e.g., cattail, tall bulrush, buckbean) is mostly:</v>
      </c>
      <c r="D60" s="777"/>
      <c r="E60" s="376"/>
      <c r="F60" s="262"/>
      <c r="G60" s="232">
        <f>IF((AllSat1&gt;0),"",IF((NoPonded=1),"",IF((NoOpenPonded+NoOpenPonded1&gt;0),"",IF((AllOpenPond=1),"", IF((SmallAA=1),"", MAX(F61:F63)/MAX(E61:E63))))))</f>
        <v>0</v>
      </c>
      <c r="H60" s="2000" t="s">
        <v>473</v>
      </c>
      <c r="I60" s="2011" t="s">
        <v>1146</v>
      </c>
    </row>
    <row r="61" spans="1:70" ht="27" customHeight="1" x14ac:dyDescent="0.2">
      <c r="A61" s="2071"/>
      <c r="B61" s="2065"/>
      <c r="C61" s="1608" t="str">
        <f>F!C200</f>
        <v>Scattered.  More than 30% of such vegetation forms small islands or corridors surrounded by water.</v>
      </c>
      <c r="D61" s="1610">
        <f>F!D200</f>
        <v>0</v>
      </c>
      <c r="E61" s="722">
        <v>2</v>
      </c>
      <c r="F61" s="722">
        <f>D61*E61</f>
        <v>0</v>
      </c>
      <c r="G61" s="775"/>
      <c r="H61" s="1989"/>
      <c r="I61" s="2040"/>
    </row>
    <row r="62" spans="1:70" ht="15" customHeight="1" x14ac:dyDescent="0.2">
      <c r="A62" s="2071"/>
      <c r="B62" s="2065"/>
      <c r="C62" s="1608" t="str">
        <f>F!C201</f>
        <v>Intermediate.</v>
      </c>
      <c r="D62" s="1610">
        <f>F!D201</f>
        <v>0</v>
      </c>
      <c r="E62" s="722">
        <v>1</v>
      </c>
      <c r="F62" s="722">
        <f>D62*E62</f>
        <v>0</v>
      </c>
      <c r="G62" s="775"/>
      <c r="H62" s="1989"/>
      <c r="I62" s="2040"/>
    </row>
    <row r="63" spans="1:70" ht="31.5" customHeight="1" thickBot="1" x14ac:dyDescent="0.25">
      <c r="A63" s="2072"/>
      <c r="B63" s="2066"/>
      <c r="C63" s="1611" t="str">
        <f>F!C202</f>
        <v>Clumped. More than 70% of such vegetation is in bands along the wetland perimeter or is clumped at one or a few sides of the surface water area.</v>
      </c>
      <c r="D63" s="1612">
        <f>F!D202</f>
        <v>0</v>
      </c>
      <c r="E63" s="244">
        <v>0</v>
      </c>
      <c r="F63" s="244">
        <f>D63*E63</f>
        <v>0</v>
      </c>
      <c r="G63" s="258"/>
      <c r="H63" s="1990"/>
      <c r="I63" s="2041"/>
    </row>
    <row r="64" spans="1:70" s="214" customFormat="1" ht="42" customHeight="1" thickBot="1" x14ac:dyDescent="0.25">
      <c r="A64" s="2049" t="str">
        <f>F!A227</f>
        <v>F47</v>
      </c>
      <c r="B64" s="2060" t="str">
        <f>F!B227</f>
        <v>Through Flow Pattern</v>
      </c>
      <c r="C64" s="1416" t="str">
        <f>F!C227</f>
        <v>During its travel through the AA at the time of peak annual flow, water arriving in channels: [select only the ONE encountered by most of the incoming water].</v>
      </c>
      <c r="D64" s="736"/>
      <c r="E64" s="239"/>
      <c r="F64" s="259"/>
      <c r="G64" s="761" t="str">
        <f>IF((AllSat1=1),"",IF((Inflows=0),"",(MAX(F65:F69)/MAX(E65:E69))))</f>
        <v/>
      </c>
      <c r="H64" s="1989" t="s">
        <v>204</v>
      </c>
      <c r="I64" s="2057" t="s">
        <v>1147</v>
      </c>
      <c r="J64" s="573"/>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0"/>
      <c r="AY64" s="940"/>
      <c r="AZ64" s="940"/>
      <c r="BA64" s="940"/>
      <c r="BB64" s="940"/>
      <c r="BC64" s="940"/>
      <c r="BD64" s="940"/>
      <c r="BE64" s="940"/>
      <c r="BF64" s="940"/>
      <c r="BG64" s="940"/>
      <c r="BH64" s="940"/>
      <c r="BI64" s="940"/>
      <c r="BJ64" s="940"/>
      <c r="BK64" s="940"/>
      <c r="BL64" s="940"/>
      <c r="BM64" s="940"/>
      <c r="BN64" s="940"/>
      <c r="BO64" s="940"/>
      <c r="BP64" s="940"/>
      <c r="BQ64" s="940"/>
      <c r="BR64" s="940"/>
    </row>
    <row r="65" spans="1:70" s="214" customFormat="1" ht="52.5" customHeight="1" x14ac:dyDescent="0.2">
      <c r="A65" s="2050"/>
      <c r="B65" s="2061"/>
      <c r="C65" s="1410" t="str">
        <f>F!C228</f>
        <v>Does not bump into plant stems as it travels through the AA.  Nearly all the water continues to travel in unvegetated (often incised) channels that have minimal contact with wetland vegetation, or through a zone of open water such as an instream pond or lake.</v>
      </c>
      <c r="D65" s="737">
        <f>F!D228</f>
        <v>0</v>
      </c>
      <c r="E65" s="241">
        <v>0</v>
      </c>
      <c r="F65" s="241">
        <f>D65*E65</f>
        <v>0</v>
      </c>
      <c r="G65" s="202"/>
      <c r="H65" s="1989"/>
      <c r="I65" s="2058"/>
      <c r="J65" s="573"/>
      <c r="K65" s="940"/>
      <c r="L65" s="940"/>
      <c r="M65" s="940"/>
      <c r="N65" s="940"/>
      <c r="O65" s="940"/>
      <c r="P65" s="940"/>
      <c r="Q65" s="940"/>
      <c r="R65" s="940"/>
      <c r="S65" s="940"/>
      <c r="T65" s="940"/>
      <c r="U65" s="940"/>
      <c r="V65" s="940"/>
      <c r="W65" s="940"/>
      <c r="X65" s="940"/>
      <c r="Y65" s="940"/>
      <c r="Z65" s="940"/>
      <c r="AA65" s="940"/>
      <c r="AB65" s="940"/>
      <c r="AC65" s="940"/>
      <c r="AD65" s="940"/>
      <c r="AE65" s="940"/>
      <c r="AF65" s="940"/>
      <c r="AG65" s="940"/>
      <c r="AH65" s="940"/>
      <c r="AI65" s="940"/>
      <c r="AJ65" s="940"/>
      <c r="AK65" s="940"/>
      <c r="AL65" s="940"/>
      <c r="AM65" s="940"/>
      <c r="AN65" s="940"/>
      <c r="AO65" s="940"/>
      <c r="AP65" s="940"/>
      <c r="AQ65" s="940"/>
      <c r="AR65" s="940"/>
      <c r="AS65" s="940"/>
      <c r="AT65" s="940"/>
      <c r="AU65" s="940"/>
      <c r="AV65" s="940"/>
      <c r="AW65" s="940"/>
      <c r="AX65" s="940"/>
      <c r="AY65" s="940"/>
      <c r="AZ65" s="940"/>
      <c r="BA65" s="940"/>
      <c r="BB65" s="940"/>
      <c r="BC65" s="940"/>
      <c r="BD65" s="940"/>
      <c r="BE65" s="940"/>
      <c r="BF65" s="940"/>
      <c r="BG65" s="940"/>
      <c r="BH65" s="940"/>
      <c r="BI65" s="940"/>
      <c r="BJ65" s="940"/>
      <c r="BK65" s="940"/>
      <c r="BL65" s="940"/>
      <c r="BM65" s="940"/>
      <c r="BN65" s="940"/>
      <c r="BO65" s="940"/>
      <c r="BP65" s="940"/>
      <c r="BQ65" s="940"/>
      <c r="BR65" s="940"/>
    </row>
    <row r="66" spans="1:70" s="214" customFormat="1" ht="15" customHeight="1" x14ac:dyDescent="0.2">
      <c r="A66" s="2050"/>
      <c r="B66" s="2061"/>
      <c r="C66" s="1613" t="str">
        <f>F!C229</f>
        <v>bumps into herbaceous vegetation but mostly remains in fairly straight channels.</v>
      </c>
      <c r="D66" s="737">
        <f>F!D229</f>
        <v>0</v>
      </c>
      <c r="E66" s="241">
        <v>3</v>
      </c>
      <c r="F66" s="241">
        <f>D66*E66</f>
        <v>0</v>
      </c>
      <c r="G66" s="257"/>
      <c r="H66" s="1989"/>
      <c r="I66" s="2058"/>
      <c r="J66" s="573"/>
      <c r="K66" s="940"/>
      <c r="L66" s="940"/>
      <c r="M66" s="940"/>
      <c r="N66" s="940"/>
      <c r="O66" s="940"/>
      <c r="P66" s="940"/>
      <c r="Q66" s="940"/>
      <c r="R66" s="940"/>
      <c r="S66" s="940"/>
      <c r="T66" s="940"/>
      <c r="U66" s="940"/>
      <c r="V66" s="940"/>
      <c r="W66" s="940"/>
      <c r="X66" s="940"/>
      <c r="Y66" s="940"/>
      <c r="Z66" s="940"/>
      <c r="AA66" s="940"/>
      <c r="AB66" s="940"/>
      <c r="AC66" s="940"/>
      <c r="AD66" s="940"/>
      <c r="AE66" s="940"/>
      <c r="AF66" s="940"/>
      <c r="AG66" s="940"/>
      <c r="AH66" s="940"/>
      <c r="AI66" s="940"/>
      <c r="AJ66" s="940"/>
      <c r="AK66" s="940"/>
      <c r="AL66" s="940"/>
      <c r="AM66" s="940"/>
      <c r="AN66" s="940"/>
      <c r="AO66" s="940"/>
      <c r="AP66" s="940"/>
      <c r="AQ66" s="940"/>
      <c r="AR66" s="940"/>
      <c r="AS66" s="940"/>
      <c r="AT66" s="940"/>
      <c r="AU66" s="940"/>
      <c r="AV66" s="940"/>
      <c r="AW66" s="940"/>
      <c r="AX66" s="940"/>
      <c r="AY66" s="940"/>
      <c r="AZ66" s="940"/>
      <c r="BA66" s="940"/>
      <c r="BB66" s="940"/>
      <c r="BC66" s="940"/>
      <c r="BD66" s="940"/>
      <c r="BE66" s="940"/>
      <c r="BF66" s="940"/>
      <c r="BG66" s="940"/>
      <c r="BH66" s="940"/>
      <c r="BI66" s="940"/>
      <c r="BJ66" s="940"/>
      <c r="BK66" s="940"/>
      <c r="BL66" s="940"/>
      <c r="BM66" s="940"/>
      <c r="BN66" s="940"/>
      <c r="BO66" s="940"/>
      <c r="BP66" s="940"/>
      <c r="BQ66" s="940"/>
      <c r="BR66" s="940"/>
    </row>
    <row r="67" spans="1:70" s="214" customFormat="1" ht="27" customHeight="1" x14ac:dyDescent="0.2">
      <c r="A67" s="2050"/>
      <c r="B67" s="2061"/>
      <c r="C67" s="1614" t="str">
        <f>F!C230</f>
        <v>bumps into herbaceous vegetation and mostly spreads throughout, or is in widely  meandering, multi-branched, or braided channels.</v>
      </c>
      <c r="D67" s="468">
        <f>F!D230</f>
        <v>0</v>
      </c>
      <c r="E67" s="241">
        <v>6</v>
      </c>
      <c r="F67" s="241">
        <f>D67*E67</f>
        <v>0</v>
      </c>
      <c r="G67" s="257"/>
      <c r="H67" s="1989"/>
      <c r="I67" s="2058"/>
      <c r="J67" s="573"/>
      <c r="K67" s="940"/>
      <c r="L67" s="940"/>
      <c r="M67" s="940"/>
      <c r="N67" s="940"/>
      <c r="O67" s="940"/>
      <c r="P67" s="940"/>
      <c r="Q67" s="940"/>
      <c r="R67" s="940"/>
      <c r="S67" s="940"/>
      <c r="T67" s="940"/>
      <c r="U67" s="940"/>
      <c r="V67" s="940"/>
      <c r="W67" s="940"/>
      <c r="X67" s="940"/>
      <c r="Y67" s="940"/>
      <c r="Z67" s="940"/>
      <c r="AA67" s="940"/>
      <c r="AB67" s="940"/>
      <c r="AC67" s="940"/>
      <c r="AD67" s="940"/>
      <c r="AE67" s="940"/>
      <c r="AF67" s="940"/>
      <c r="AG67" s="940"/>
      <c r="AH67" s="940"/>
      <c r="AI67" s="940"/>
      <c r="AJ67" s="940"/>
      <c r="AK67" s="940"/>
      <c r="AL67" s="940"/>
      <c r="AM67" s="940"/>
      <c r="AN67" s="940"/>
      <c r="AO67" s="940"/>
      <c r="AP67" s="940"/>
      <c r="AQ67" s="940"/>
      <c r="AR67" s="940"/>
      <c r="AS67" s="940"/>
      <c r="AT67" s="940"/>
      <c r="AU67" s="940"/>
      <c r="AV67" s="940"/>
      <c r="AW67" s="940"/>
      <c r="AX67" s="940"/>
      <c r="AY67" s="940"/>
      <c r="AZ67" s="940"/>
      <c r="BA67" s="940"/>
      <c r="BB67" s="940"/>
      <c r="BC67" s="940"/>
      <c r="BD67" s="940"/>
      <c r="BE67" s="940"/>
      <c r="BF67" s="940"/>
      <c r="BG67" s="940"/>
      <c r="BH67" s="940"/>
      <c r="BI67" s="940"/>
      <c r="BJ67" s="940"/>
      <c r="BK67" s="940"/>
      <c r="BL67" s="940"/>
      <c r="BM67" s="940"/>
      <c r="BN67" s="940"/>
      <c r="BO67" s="940"/>
      <c r="BP67" s="940"/>
      <c r="BQ67" s="940"/>
      <c r="BR67" s="940"/>
    </row>
    <row r="68" spans="1:70" s="214" customFormat="1" ht="19.5" customHeight="1" x14ac:dyDescent="0.2">
      <c r="A68" s="2050"/>
      <c r="B68" s="2061"/>
      <c r="C68" s="1613" t="str">
        <f>F!C231</f>
        <v>bumps into tree trunks and/or shrub stems but mostly remains in fairly straight channels.</v>
      </c>
      <c r="D68" s="737">
        <f>F!D231</f>
        <v>0</v>
      </c>
      <c r="E68" s="241">
        <v>4</v>
      </c>
      <c r="F68" s="241">
        <f>D68*E68</f>
        <v>0</v>
      </c>
      <c r="G68" s="257"/>
      <c r="H68" s="1989"/>
      <c r="I68" s="2058"/>
      <c r="J68" s="573"/>
      <c r="K68" s="940"/>
      <c r="L68" s="940"/>
      <c r="M68" s="940"/>
      <c r="N68" s="940"/>
      <c r="O68" s="940"/>
      <c r="P68" s="940"/>
      <c r="Q68" s="940"/>
      <c r="R68" s="940"/>
      <c r="S68" s="940"/>
      <c r="T68" s="940"/>
      <c r="U68" s="940"/>
      <c r="V68" s="940"/>
      <c r="W68" s="940"/>
      <c r="X68" s="940"/>
      <c r="Y68" s="940"/>
      <c r="Z68" s="940"/>
      <c r="AA68" s="940"/>
      <c r="AB68" s="940"/>
      <c r="AC68" s="940"/>
      <c r="AD68" s="940"/>
      <c r="AE68" s="940"/>
      <c r="AF68" s="940"/>
      <c r="AG68" s="940"/>
      <c r="AH68" s="940"/>
      <c r="AI68" s="940"/>
      <c r="AJ68" s="940"/>
      <c r="AK68" s="940"/>
      <c r="AL68" s="940"/>
      <c r="AM68" s="940"/>
      <c r="AN68" s="940"/>
      <c r="AO68" s="940"/>
      <c r="AP68" s="940"/>
      <c r="AQ68" s="940"/>
      <c r="AR68" s="940"/>
      <c r="AS68" s="940"/>
      <c r="AT68" s="940"/>
      <c r="AU68" s="940"/>
      <c r="AV68" s="940"/>
      <c r="AW68" s="940"/>
      <c r="AX68" s="940"/>
      <c r="AY68" s="940"/>
      <c r="AZ68" s="940"/>
      <c r="BA68" s="940"/>
      <c r="BB68" s="940"/>
      <c r="BC68" s="940"/>
      <c r="BD68" s="940"/>
      <c r="BE68" s="940"/>
      <c r="BF68" s="940"/>
      <c r="BG68" s="940"/>
      <c r="BH68" s="940"/>
      <c r="BI68" s="940"/>
      <c r="BJ68" s="940"/>
      <c r="BK68" s="940"/>
      <c r="BL68" s="940"/>
      <c r="BM68" s="940"/>
      <c r="BN68" s="940"/>
      <c r="BO68" s="940"/>
      <c r="BP68" s="940"/>
      <c r="BQ68" s="940"/>
      <c r="BR68" s="940"/>
    </row>
    <row r="69" spans="1:70" s="214" customFormat="1" ht="30" customHeight="1" thickBot="1" x14ac:dyDescent="0.25">
      <c r="A69" s="2051"/>
      <c r="B69" s="2062"/>
      <c r="C69" s="1429" t="str">
        <f>F!C232</f>
        <v>bumps into tree trunks and/or shrub stems and follows a fairly indirect path from entrance to exit (meandering, multi-branched, or braided).</v>
      </c>
      <c r="D69" s="94">
        <f>F!D232</f>
        <v>0</v>
      </c>
      <c r="E69" s="380">
        <v>8</v>
      </c>
      <c r="F69" s="380">
        <f>D69*E69</f>
        <v>0</v>
      </c>
      <c r="G69" s="433"/>
      <c r="H69" s="1989"/>
      <c r="I69" s="2059"/>
      <c r="J69" s="573"/>
      <c r="K69" s="940"/>
      <c r="L69" s="940"/>
      <c r="M69" s="940"/>
      <c r="N69" s="940"/>
      <c r="O69" s="940"/>
      <c r="P69" s="940"/>
      <c r="Q69" s="940"/>
      <c r="R69" s="940"/>
      <c r="S69" s="940"/>
      <c r="T69" s="940"/>
      <c r="U69" s="940"/>
      <c r="V69" s="940"/>
      <c r="W69" s="940"/>
      <c r="X69" s="940"/>
      <c r="Y69" s="940"/>
      <c r="Z69" s="940"/>
      <c r="AA69" s="940"/>
      <c r="AB69" s="940"/>
      <c r="AC69" s="940"/>
      <c r="AD69" s="940"/>
      <c r="AE69" s="940"/>
      <c r="AF69" s="940"/>
      <c r="AG69" s="940"/>
      <c r="AH69" s="940"/>
      <c r="AI69" s="940"/>
      <c r="AJ69" s="940"/>
      <c r="AK69" s="940"/>
      <c r="AL69" s="940"/>
      <c r="AM69" s="940"/>
      <c r="AN69" s="940"/>
      <c r="AO69" s="940"/>
      <c r="AP69" s="940"/>
      <c r="AQ69" s="940"/>
      <c r="AR69" s="940"/>
      <c r="AS69" s="940"/>
      <c r="AT69" s="940"/>
      <c r="AU69" s="940"/>
      <c r="AV69" s="940"/>
      <c r="AW69" s="940"/>
      <c r="AX69" s="940"/>
      <c r="AY69" s="940"/>
      <c r="AZ69" s="940"/>
      <c r="BA69" s="940"/>
      <c r="BB69" s="940"/>
      <c r="BC69" s="940"/>
      <c r="BD69" s="940"/>
      <c r="BE69" s="940"/>
      <c r="BF69" s="940"/>
      <c r="BG69" s="940"/>
      <c r="BH69" s="940"/>
      <c r="BI69" s="940"/>
      <c r="BJ69" s="940"/>
      <c r="BK69" s="940"/>
      <c r="BL69" s="940"/>
      <c r="BM69" s="940"/>
      <c r="BN69" s="940"/>
      <c r="BO69" s="940"/>
      <c r="BP69" s="940"/>
      <c r="BQ69" s="940"/>
      <c r="BR69" s="940"/>
    </row>
    <row r="70" spans="1:70" s="214" customFormat="1" ht="79.5" customHeight="1" thickBot="1" x14ac:dyDescent="0.25">
      <c r="A70" s="1992" t="str">
        <f>F!A233</f>
        <v>F48</v>
      </c>
      <c r="B70" s="2073" t="str">
        <f>F!B233</f>
        <v>Channel Connection &amp; Outflow Duration</v>
      </c>
      <c r="C70" s="90" t="str">
        <f>F!C233</f>
        <v>The most persistent surface water connection (outlet channel or pipe, ditch, or overbank water exchange) between the AA and the closest larger water body located downslope is: [Note: If the AA represents only part of a wetland, answer this according to whichever is the least permanent surface connection: the one between the AA and the rest of the wetland, or the surface connection between the wetland and a mapped stream or lake located within 200 m downslope from the wetland ]</v>
      </c>
      <c r="D70" s="372"/>
      <c r="E70" s="376"/>
      <c r="F70" s="262"/>
      <c r="G70" s="273">
        <f>IF((AllSat1&gt;0),"", MAX(F71:F75)/MAX(E71:E75))</f>
        <v>0</v>
      </c>
      <c r="H70" s="2000" t="s">
        <v>202</v>
      </c>
      <c r="I70" s="2011" t="s">
        <v>1026</v>
      </c>
      <c r="J70" s="573"/>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0"/>
      <c r="AY70" s="940"/>
      <c r="AZ70" s="940"/>
      <c r="BA70" s="940"/>
      <c r="BB70" s="940"/>
      <c r="BC70" s="940"/>
      <c r="BD70" s="940"/>
      <c r="BE70" s="940"/>
      <c r="BF70" s="940"/>
      <c r="BG70" s="940"/>
      <c r="BH70" s="940"/>
      <c r="BI70" s="940"/>
      <c r="BJ70" s="940"/>
      <c r="BK70" s="940"/>
      <c r="BL70" s="940"/>
      <c r="BM70" s="940"/>
      <c r="BN70" s="940"/>
      <c r="BO70" s="940"/>
      <c r="BP70" s="940"/>
      <c r="BQ70" s="940"/>
      <c r="BR70" s="940"/>
    </row>
    <row r="71" spans="1:70" ht="15" customHeight="1" x14ac:dyDescent="0.2">
      <c r="A71" s="1991"/>
      <c r="B71" s="2053"/>
      <c r="C71" s="426" t="str">
        <f>F!C234</f>
        <v>persistent (&gt;9 months/year, including times when frozen).</v>
      </c>
      <c r="D71" s="443">
        <f>F!D234</f>
        <v>0</v>
      </c>
      <c r="E71" s="239">
        <v>1</v>
      </c>
      <c r="F71" s="239">
        <f>D71*E71</f>
        <v>0</v>
      </c>
      <c r="G71" s="202"/>
      <c r="H71" s="1989"/>
      <c r="I71" s="2040"/>
    </row>
    <row r="72" spans="1:70" ht="25.5" x14ac:dyDescent="0.2">
      <c r="A72" s="1991"/>
      <c r="B72" s="2053"/>
      <c r="C72" s="362" t="str">
        <f>F!C235</f>
        <v>seasonal (14 days to 9 months/year, not necessarily consecutive, including times when frozen).</v>
      </c>
      <c r="D72" s="359">
        <f>F!D235</f>
        <v>0</v>
      </c>
      <c r="E72" s="377">
        <v>2</v>
      </c>
      <c r="F72" s="377">
        <f>D72*E72</f>
        <v>0</v>
      </c>
      <c r="G72" s="257"/>
      <c r="H72" s="1989"/>
      <c r="I72" s="2040"/>
    </row>
    <row r="73" spans="1:70" ht="15" customHeight="1" x14ac:dyDescent="0.2">
      <c r="A73" s="1991"/>
      <c r="B73" s="2053"/>
      <c r="C73" s="362" t="str">
        <f>F!C236</f>
        <v>temporary (&lt;14 days, not necessarily consecutive, but must be unfrozen).</v>
      </c>
      <c r="D73" s="356">
        <f>F!D236</f>
        <v>0</v>
      </c>
      <c r="E73" s="377">
        <v>4</v>
      </c>
      <c r="F73" s="377">
        <f>D73*E73</f>
        <v>0</v>
      </c>
      <c r="G73" s="257"/>
      <c r="H73" s="1989"/>
      <c r="I73" s="2040"/>
    </row>
    <row r="74" spans="1:70" ht="38.25" x14ac:dyDescent="0.2">
      <c r="A74" s="1991"/>
      <c r="B74" s="2053"/>
      <c r="C74" s="362" t="str">
        <f>F!C237</f>
        <v xml:space="preserve">none -- but maps show a stream or other water body that is downslope from the AA and within a distance that is less than the AA's length.  If so, mark "1" here and SKIP TO F50 (Groundwater). </v>
      </c>
      <c r="D74" s="354">
        <f>F!D237</f>
        <v>0</v>
      </c>
      <c r="E74" s="381">
        <v>8</v>
      </c>
      <c r="F74" s="377">
        <f>D74*E74</f>
        <v>0</v>
      </c>
      <c r="G74" s="433"/>
      <c r="H74" s="1989"/>
      <c r="I74" s="2040"/>
    </row>
    <row r="75" spans="1:70" ht="42" customHeight="1" thickBot="1" x14ac:dyDescent="0.25">
      <c r="A75" s="1993"/>
      <c r="B75" s="2074"/>
      <c r="C75" s="1615" t="str">
        <f>F!C238</f>
        <v xml:space="preserve">no surface water flows out of the wetland except possibly during extreme events (&lt;once per 10 years). Or, water flows only into a wetland, ditch, or lake that lacks an outlet.  If so, mark "1" here and SKIP TO F50 (Groundwater). </v>
      </c>
      <c r="D75" s="94">
        <f>F!D238</f>
        <v>0</v>
      </c>
      <c r="E75" s="272">
        <v>8</v>
      </c>
      <c r="F75" s="244">
        <f>D75*E75</f>
        <v>0</v>
      </c>
      <c r="G75" s="258"/>
      <c r="H75" s="1990"/>
      <c r="I75" s="2041"/>
    </row>
    <row r="76" spans="1:70" ht="30" customHeight="1" thickBot="1" x14ac:dyDescent="0.25">
      <c r="A76" s="2075" t="str">
        <f>F!A239</f>
        <v>F49</v>
      </c>
      <c r="B76" s="1911" t="str">
        <f>F!B239</f>
        <v>Outflow Confinement</v>
      </c>
      <c r="C76" s="877" t="str">
        <f>F!C239</f>
        <v>During major runoff events, in the places where surface water exits the AA or connected waters nearby, it:</v>
      </c>
      <c r="D76" s="437"/>
      <c r="E76" s="239"/>
      <c r="F76" s="259"/>
      <c r="G76" s="219">
        <f>IF((OutNone+OutNone1&gt;0),"",MAX(F77:F79)/MAX(E77:E79))</f>
        <v>0</v>
      </c>
      <c r="H76" s="1989" t="s">
        <v>203</v>
      </c>
      <c r="I76" s="2040" t="s">
        <v>1148</v>
      </c>
    </row>
    <row r="77" spans="1:70" ht="42" customHeight="1" x14ac:dyDescent="0.2">
      <c r="A77" s="2075"/>
      <c r="B77" s="1911"/>
      <c r="C77" s="426" t="str">
        <f>F!C240</f>
        <v>mostly passes through a pipe, culvert, narrowly breached dike, berm, beaver dam, or other partial obstruction (other than natural topography) that does not appear to drain the wetland artificially during most of the growing season.</v>
      </c>
      <c r="D77" s="180">
        <f>F!D240</f>
        <v>0</v>
      </c>
      <c r="E77" s="241">
        <v>2</v>
      </c>
      <c r="F77" s="241">
        <f>D77*E77</f>
        <v>0</v>
      </c>
      <c r="G77" s="202"/>
      <c r="H77" s="1989"/>
      <c r="I77" s="2040"/>
    </row>
    <row r="78" spans="1:70" ht="27" customHeight="1" x14ac:dyDescent="0.2">
      <c r="A78" s="2075"/>
      <c r="B78" s="1911"/>
      <c r="C78" s="362" t="str">
        <f>F!C241</f>
        <v>leaves through natural exits (channels or diffuse outflow), not mainly through artificial or temporary features.</v>
      </c>
      <c r="D78" s="40">
        <f>F!D241</f>
        <v>0</v>
      </c>
      <c r="E78" s="241">
        <v>1</v>
      </c>
      <c r="F78" s="241">
        <f>D78*E78</f>
        <v>0</v>
      </c>
      <c r="G78" s="267"/>
      <c r="H78" s="1989"/>
      <c r="I78" s="2040"/>
    </row>
    <row r="79" spans="1:70" ht="42" customHeight="1" thickBot="1" x14ac:dyDescent="0.25">
      <c r="A79" s="2075"/>
      <c r="B79" s="1911"/>
      <c r="C79" s="361" t="str">
        <f>F!C242</f>
        <v>is exported more quickly than usual due to ditches or pipes within the AA (or connected to its outlet or within 10 m of the AA's edge) which drain the wetland artificially, or water is pumped out of the AA.</v>
      </c>
      <c r="D79" s="356">
        <f>F!D242</f>
        <v>0</v>
      </c>
      <c r="E79" s="380">
        <v>0</v>
      </c>
      <c r="F79" s="380">
        <f>D79*E79</f>
        <v>0</v>
      </c>
      <c r="G79" s="433"/>
      <c r="H79" s="1989"/>
      <c r="I79" s="2040"/>
    </row>
    <row r="80" spans="1:70" ht="21" customHeight="1" thickBot="1" x14ac:dyDescent="0.25">
      <c r="A80" s="1992" t="str">
        <f>F!A247</f>
        <v>F51</v>
      </c>
      <c r="B80" s="1867" t="str">
        <f>F!B247</f>
        <v>Internal Gradient</v>
      </c>
      <c r="C80" s="90" t="str">
        <f>F!C247</f>
        <v>The gradient along most of the flow path within the AA is:</v>
      </c>
      <c r="D80" s="372"/>
      <c r="E80" s="376"/>
      <c r="F80" s="262"/>
      <c r="G80" s="225">
        <f>MAX(F81:F84)/MAX(E81:E84)</f>
        <v>0</v>
      </c>
      <c r="H80" s="2000" t="s">
        <v>207</v>
      </c>
      <c r="I80" s="2011" t="s">
        <v>1260</v>
      </c>
    </row>
    <row r="81" spans="1:10" ht="27" customHeight="1" x14ac:dyDescent="0.2">
      <c r="A81" s="1991"/>
      <c r="B81" s="1911"/>
      <c r="C81" s="426" t="str">
        <f>F!C248</f>
        <v>&lt;2%, or, no slope is ever apparent (i.e., flat). Or, the wetland is in a depression or pond with no inlet and no outlet.</v>
      </c>
      <c r="D81" s="180">
        <f>F!D248</f>
        <v>0</v>
      </c>
      <c r="E81" s="377">
        <v>4</v>
      </c>
      <c r="F81" s="377">
        <f>D81*E81</f>
        <v>0</v>
      </c>
      <c r="G81" s="202"/>
      <c r="H81" s="1989"/>
      <c r="I81" s="2040"/>
    </row>
    <row r="82" spans="1:10" ht="15" customHeight="1" x14ac:dyDescent="0.2">
      <c r="A82" s="1991"/>
      <c r="B82" s="1911"/>
      <c r="C82" s="362" t="str">
        <f>F!C249</f>
        <v>2-5%</v>
      </c>
      <c r="D82" s="354">
        <f>F!D249</f>
        <v>0</v>
      </c>
      <c r="E82" s="377">
        <v>2</v>
      </c>
      <c r="F82" s="377">
        <f>D82*E82</f>
        <v>0</v>
      </c>
      <c r="G82" s="257"/>
      <c r="H82" s="1989"/>
      <c r="I82" s="2040"/>
    </row>
    <row r="83" spans="1:10" ht="15" customHeight="1" x14ac:dyDescent="0.2">
      <c r="A83" s="1991"/>
      <c r="B83" s="1911"/>
      <c r="C83" s="362" t="str">
        <f>F!C250</f>
        <v>6-10%</v>
      </c>
      <c r="D83" s="354">
        <f>F!D250</f>
        <v>0</v>
      </c>
      <c r="E83" s="377">
        <v>1</v>
      </c>
      <c r="F83" s="377">
        <f>D83*E83</f>
        <v>0</v>
      </c>
      <c r="G83" s="257"/>
      <c r="H83" s="1989"/>
      <c r="I83" s="2040"/>
    </row>
    <row r="84" spans="1:10" ht="15" customHeight="1" thickBot="1" x14ac:dyDescent="0.25">
      <c r="A84" s="1993"/>
      <c r="B84" s="1978"/>
      <c r="C84" s="82" t="str">
        <f>F!C251</f>
        <v>&gt;10%</v>
      </c>
      <c r="D84" s="94">
        <f>F!D251</f>
        <v>0</v>
      </c>
      <c r="E84" s="244">
        <v>0</v>
      </c>
      <c r="F84" s="244">
        <f>D84*E84</f>
        <v>0</v>
      </c>
      <c r="G84" s="258"/>
      <c r="H84" s="1990"/>
      <c r="I84" s="2042"/>
    </row>
    <row r="85" spans="1:10" ht="21" customHeight="1" thickBot="1" x14ac:dyDescent="0.25">
      <c r="A85" s="2067" t="str">
        <f>F!A269</f>
        <v>F56</v>
      </c>
      <c r="B85" s="2067" t="str">
        <f>F!B269</f>
        <v>Burn History</v>
      </c>
      <c r="C85" s="1616" t="str">
        <f>F!C269</f>
        <v>More than 1% of the AA's previously vegetated area:</v>
      </c>
      <c r="D85" s="282"/>
      <c r="E85" s="256"/>
      <c r="F85" s="256"/>
      <c r="G85" s="1258">
        <f>MAX(F86:F89)/MAX(E86:E89)</f>
        <v>0</v>
      </c>
      <c r="H85" s="2011" t="s">
        <v>1716</v>
      </c>
      <c r="I85" s="1867" t="s">
        <v>1717</v>
      </c>
    </row>
    <row r="86" spans="1:10" ht="15" customHeight="1" x14ac:dyDescent="0.2">
      <c r="A86" s="2068"/>
      <c r="B86" s="2068"/>
      <c r="C86" s="725" t="str">
        <f>F!C270</f>
        <v>burned within past 5 years.</v>
      </c>
      <c r="D86" s="752">
        <f>F!D270</f>
        <v>0</v>
      </c>
      <c r="E86" s="722">
        <v>0</v>
      </c>
      <c r="F86" s="722">
        <f t="shared" ref="F86:F94" si="2">D86*E86</f>
        <v>0</v>
      </c>
      <c r="G86" s="723"/>
      <c r="H86" s="2040"/>
      <c r="I86" s="1911"/>
    </row>
    <row r="87" spans="1:10" ht="15" customHeight="1" x14ac:dyDescent="0.2">
      <c r="A87" s="2068"/>
      <c r="B87" s="2068"/>
      <c r="C87" s="724" t="str">
        <f>F!C271</f>
        <v>burned 6-10 years ago.</v>
      </c>
      <c r="D87" s="752">
        <f>F!D271</f>
        <v>0</v>
      </c>
      <c r="E87" s="722">
        <v>1</v>
      </c>
      <c r="F87" s="722">
        <f t="shared" si="2"/>
        <v>0</v>
      </c>
      <c r="G87" s="723"/>
      <c r="H87" s="2040"/>
      <c r="I87" s="1911"/>
    </row>
    <row r="88" spans="1:10" ht="15" customHeight="1" x14ac:dyDescent="0.2">
      <c r="A88" s="2068"/>
      <c r="B88" s="2068"/>
      <c r="C88" s="724" t="str">
        <f>F!C272</f>
        <v>burned 11-30 years ago.</v>
      </c>
      <c r="D88" s="752">
        <f>F!D272</f>
        <v>0</v>
      </c>
      <c r="E88" s="722">
        <v>2</v>
      </c>
      <c r="F88" s="722">
        <f t="shared" si="2"/>
        <v>0</v>
      </c>
      <c r="G88" s="723"/>
      <c r="H88" s="2040"/>
      <c r="I88" s="1911"/>
    </row>
    <row r="89" spans="1:10" ht="15" customHeight="1" thickBot="1" x14ac:dyDescent="0.25">
      <c r="A89" s="2069"/>
      <c r="B89" s="2069"/>
      <c r="C89" s="727" t="str">
        <f>F!C273</f>
        <v>burned &gt;30 years ago, or no evidence of a burn and no data.</v>
      </c>
      <c r="D89" s="1052">
        <f>F!D273</f>
        <v>0</v>
      </c>
      <c r="E89" s="244">
        <v>3</v>
      </c>
      <c r="F89" s="244">
        <f t="shared" si="2"/>
        <v>0</v>
      </c>
      <c r="G89" s="728"/>
      <c r="H89" s="2041"/>
      <c r="I89" s="1978"/>
    </row>
    <row r="90" spans="1:10" s="1246" customFormat="1" ht="90" thickBot="1" x14ac:dyDescent="0.25">
      <c r="A90" s="2089" t="str">
        <f>F!A331</f>
        <v>F69</v>
      </c>
      <c r="B90" s="2086" t="str">
        <f>F!B331</f>
        <v>Wetland as a % of Its Contributing Area (Catchment)</v>
      </c>
      <c r="C90" s="1289" t="str">
        <f>F!C331</f>
        <v>Estimate the approximate boundaries of the wetland's catchment (CA) from a topographic map.Then adjust those boundaries if necessary based on your field observations of the surrounding terrain, and/or by using procedures described in the ABWRET Manual.  Divide the area of the wetland (not just the AA) by the approximate area of its catchment , excluding the area of the wetland itself.  When doing the calculation, if ponded water adjoins the wetland, include that in the wetland's area.  The result is:</v>
      </c>
      <c r="D90" s="907"/>
      <c r="E90" s="440"/>
      <c r="F90" s="440"/>
      <c r="G90" s="1258">
        <f>MAX(F91:F94)/MAX(E91:E94)</f>
        <v>0</v>
      </c>
      <c r="H90" s="2092" t="s">
        <v>2255</v>
      </c>
      <c r="I90" s="2086" t="s">
        <v>2291</v>
      </c>
      <c r="J90" s="1245"/>
    </row>
    <row r="91" spans="1:10" s="1246" customFormat="1" ht="27" customHeight="1" x14ac:dyDescent="0.2">
      <c r="A91" s="2090"/>
      <c r="B91" s="2087"/>
      <c r="C91" s="1287" t="str">
        <f>F!C332</f>
        <v>&lt;1%, or catchment size unknown due to stormwater pipes that collect water from an indeterminate area.</v>
      </c>
      <c r="D91" s="1080">
        <f>F!D332</f>
        <v>0</v>
      </c>
      <c r="E91" s="779">
        <v>1</v>
      </c>
      <c r="F91" s="722">
        <f t="shared" si="2"/>
        <v>0</v>
      </c>
      <c r="G91" s="779"/>
      <c r="H91" s="2093"/>
      <c r="I91" s="2087"/>
      <c r="J91" s="1245"/>
    </row>
    <row r="92" spans="1:10" s="1246" customFormat="1" ht="15" customHeight="1" x14ac:dyDescent="0.2">
      <c r="A92" s="2090"/>
      <c r="B92" s="2087"/>
      <c r="C92" s="1288" t="str">
        <f>F!C333</f>
        <v>1-10%</v>
      </c>
      <c r="D92" s="1080">
        <f>F!D333</f>
        <v>0</v>
      </c>
      <c r="E92" s="779">
        <v>2</v>
      </c>
      <c r="F92" s="722">
        <f t="shared" si="2"/>
        <v>0</v>
      </c>
      <c r="G92" s="779"/>
      <c r="H92" s="2093"/>
      <c r="I92" s="2087"/>
      <c r="J92" s="1245"/>
    </row>
    <row r="93" spans="1:10" s="1246" customFormat="1" ht="15" customHeight="1" x14ac:dyDescent="0.2">
      <c r="A93" s="2090"/>
      <c r="B93" s="2087"/>
      <c r="C93" s="1288" t="str">
        <f>F!C334</f>
        <v>10-100%</v>
      </c>
      <c r="D93" s="1080">
        <f>F!D334</f>
        <v>0</v>
      </c>
      <c r="E93" s="779">
        <v>3</v>
      </c>
      <c r="F93" s="722">
        <f t="shared" si="2"/>
        <v>0</v>
      </c>
      <c r="G93" s="779"/>
      <c r="H93" s="2093"/>
      <c r="I93" s="2087"/>
      <c r="J93" s="1245"/>
    </row>
    <row r="94" spans="1:10" s="1246" customFormat="1" ht="27" customHeight="1" thickBot="1" x14ac:dyDescent="0.25">
      <c r="A94" s="2091"/>
      <c r="B94" s="2088"/>
      <c r="C94" s="1290" t="str">
        <f>F!C335</f>
        <v xml:space="preserve">&gt;100% (wetland is larger than its catchment (e.g., wetland is isolated by dikes with no input channels, is fed entirely by groundwater, or is a raised bog). </v>
      </c>
      <c r="D94" s="1083">
        <f>F!D335</f>
        <v>0</v>
      </c>
      <c r="E94" s="263">
        <v>4</v>
      </c>
      <c r="F94" s="244">
        <f t="shared" si="2"/>
        <v>0</v>
      </c>
      <c r="G94" s="263"/>
      <c r="H94" s="2094"/>
      <c r="I94" s="2088"/>
      <c r="J94" s="1245"/>
    </row>
    <row r="95" spans="1:10" ht="45" customHeight="1" thickBot="1" x14ac:dyDescent="0.25">
      <c r="A95" s="1376" t="str">
        <f>S!A71</f>
        <v>S5</v>
      </c>
      <c r="B95" s="1376" t="str">
        <f>S!B71</f>
        <v>Soil or Sediment Alteration Within the Assessment Area</v>
      </c>
      <c r="C95" s="901"/>
      <c r="D95" s="898">
        <f>S!F88</f>
        <v>0</v>
      </c>
      <c r="E95" s="276"/>
      <c r="F95" s="276"/>
      <c r="G95" s="229">
        <f>1-D95</f>
        <v>1</v>
      </c>
      <c r="H95" s="1380" t="s">
        <v>716</v>
      </c>
      <c r="I95" s="1391" t="s">
        <v>1027</v>
      </c>
    </row>
    <row r="96" spans="1:10" ht="21" customHeight="1" thickBot="1" x14ac:dyDescent="0.25">
      <c r="A96" s="394"/>
      <c r="B96" s="394"/>
      <c r="D96" s="609"/>
      <c r="E96" s="609"/>
      <c r="F96" s="609"/>
      <c r="G96" s="609"/>
      <c r="H96" s="394"/>
      <c r="I96" s="394"/>
    </row>
    <row r="97" spans="1:25" ht="21" customHeight="1" thickBot="1" x14ac:dyDescent="0.25">
      <c r="A97" s="6"/>
      <c r="B97" s="110"/>
      <c r="C97" s="391" t="s">
        <v>717</v>
      </c>
      <c r="D97" s="610"/>
      <c r="E97" s="610"/>
      <c r="F97" s="610"/>
      <c r="G97" s="610"/>
      <c r="H97" s="110"/>
      <c r="I97" s="110"/>
    </row>
    <row r="98" spans="1:25" ht="51.75" thickBot="1" x14ac:dyDescent="0.25">
      <c r="A98" s="6"/>
      <c r="B98" s="10"/>
      <c r="C98" s="1227" t="s">
        <v>2464</v>
      </c>
      <c r="D98" s="293"/>
      <c r="E98" s="293"/>
      <c r="F98" s="293"/>
      <c r="G98" s="1617">
        <f>(AVERAGE(WetVegArea, OpenPonded2, Interspers2) + AVERAGE(1-Sub0Days, SlopeBuffer, Gradient2) + AVERAGE(SeasPct2, Fluc2, DepthC2, WatEdgeSlope2, WidthAbs2, _Iso2, ThruFlo2, Constric2, Gcover2, Girreg2, Burn2, SoilAlt2) +WetPctCA2) / 4</f>
        <v>0.15277777777777779</v>
      </c>
      <c r="H98" s="110"/>
      <c r="I98" s="110"/>
      <c r="J98" s="140"/>
      <c r="K98" s="110"/>
      <c r="L98" s="110"/>
      <c r="M98" s="110"/>
      <c r="N98" s="110"/>
      <c r="O98" s="110"/>
      <c r="P98" s="110"/>
      <c r="Q98" s="110"/>
      <c r="R98" s="110"/>
      <c r="S98" s="110"/>
      <c r="T98" s="110"/>
      <c r="U98" s="110"/>
      <c r="V98" s="110"/>
      <c r="W98" s="110"/>
      <c r="X98" s="110"/>
      <c r="Y98" s="110"/>
    </row>
    <row r="99" spans="1:25" ht="21" customHeight="1" thickBot="1" x14ac:dyDescent="0.25">
      <c r="A99" s="1246"/>
      <c r="B99" s="1246"/>
      <c r="C99" s="5"/>
      <c r="D99" s="827"/>
      <c r="E99" s="827"/>
      <c r="F99" s="827"/>
      <c r="G99" s="827"/>
      <c r="H99" s="110"/>
      <c r="I99" s="110"/>
      <c r="J99" s="441"/>
      <c r="K99" s="110"/>
      <c r="L99" s="110"/>
      <c r="M99" s="110"/>
      <c r="N99" s="110"/>
      <c r="O99" s="110"/>
      <c r="P99" s="110"/>
      <c r="Q99" s="110"/>
      <c r="R99" s="110"/>
      <c r="S99" s="110"/>
      <c r="T99" s="110"/>
      <c r="U99" s="110"/>
      <c r="V99" s="110"/>
      <c r="W99" s="110"/>
      <c r="X99" s="110"/>
      <c r="Y99" s="110"/>
    </row>
    <row r="100" spans="1:25" ht="21" customHeight="1" thickBot="1" x14ac:dyDescent="0.25">
      <c r="A100" s="1246"/>
      <c r="B100" s="1246"/>
      <c r="C100" s="391" t="s">
        <v>715</v>
      </c>
      <c r="D100" s="1027"/>
      <c r="E100" s="1027"/>
      <c r="F100" s="1027"/>
      <c r="G100" s="1027"/>
      <c r="H100" s="110"/>
      <c r="I100" s="110"/>
      <c r="J100" s="441"/>
      <c r="K100" s="110"/>
      <c r="L100" s="110"/>
      <c r="M100" s="110"/>
      <c r="N100" s="110"/>
      <c r="O100" s="110"/>
      <c r="P100" s="110"/>
      <c r="Q100" s="110"/>
      <c r="R100" s="110"/>
      <c r="S100" s="110"/>
      <c r="T100" s="110"/>
      <c r="U100" s="110"/>
      <c r="V100" s="110"/>
      <c r="W100" s="110"/>
      <c r="X100" s="110"/>
      <c r="Y100" s="110"/>
    </row>
    <row r="101" spans="1:25" ht="21" customHeight="1" thickBot="1" x14ac:dyDescent="0.25">
      <c r="A101" s="1246"/>
      <c r="B101" s="1246"/>
      <c r="C101" s="83" t="s">
        <v>202</v>
      </c>
      <c r="D101" s="507"/>
      <c r="E101" s="507"/>
      <c r="F101" s="507"/>
      <c r="G101" s="1617">
        <f>OutDur2</f>
        <v>0</v>
      </c>
      <c r="H101" s="110"/>
      <c r="I101" s="110"/>
      <c r="J101" s="441"/>
      <c r="K101" s="110"/>
      <c r="L101" s="110"/>
      <c r="M101" s="110"/>
      <c r="N101" s="110"/>
      <c r="O101" s="110"/>
      <c r="P101" s="110"/>
      <c r="Q101" s="110"/>
      <c r="R101" s="110"/>
      <c r="S101" s="110"/>
      <c r="T101" s="110"/>
      <c r="U101" s="110"/>
      <c r="V101" s="110"/>
      <c r="W101" s="110"/>
      <c r="X101" s="110"/>
      <c r="Y101" s="110"/>
    </row>
    <row r="102" spans="1:25" ht="21" customHeight="1" thickBot="1" x14ac:dyDescent="0.25">
      <c r="A102" s="1246"/>
      <c r="B102" s="1246"/>
      <c r="C102" s="5"/>
      <c r="D102" s="827"/>
      <c r="E102" s="827"/>
      <c r="F102" s="827"/>
      <c r="G102" s="827"/>
      <c r="H102" s="110"/>
      <c r="I102" s="110"/>
      <c r="J102" s="441"/>
      <c r="K102" s="110"/>
      <c r="L102" s="110"/>
      <c r="M102" s="110"/>
      <c r="N102" s="110"/>
      <c r="O102" s="110"/>
      <c r="P102" s="110"/>
      <c r="Q102" s="110"/>
      <c r="R102" s="110"/>
      <c r="S102" s="110"/>
      <c r="T102" s="110"/>
      <c r="U102" s="110"/>
      <c r="V102" s="110"/>
      <c r="W102" s="110"/>
      <c r="X102" s="110"/>
      <c r="Y102" s="110"/>
    </row>
    <row r="103" spans="1:25" ht="21" customHeight="1" thickBot="1" x14ac:dyDescent="0.25">
      <c r="A103" s="1246"/>
      <c r="B103" s="1246"/>
      <c r="C103" s="639" t="s">
        <v>846</v>
      </c>
      <c r="D103" s="5"/>
      <c r="E103" s="5"/>
      <c r="F103" s="5"/>
      <c r="G103" s="5"/>
      <c r="H103" s="110"/>
      <c r="I103" s="110"/>
      <c r="J103" s="441"/>
      <c r="K103" s="110"/>
      <c r="L103" s="110"/>
      <c r="M103" s="110"/>
      <c r="N103" s="110"/>
      <c r="O103" s="110"/>
      <c r="P103" s="110"/>
      <c r="Q103" s="110"/>
      <c r="R103" s="110"/>
      <c r="S103" s="110"/>
      <c r="T103" s="110"/>
      <c r="U103" s="110"/>
      <c r="V103" s="110"/>
      <c r="W103" s="110"/>
      <c r="X103" s="110"/>
      <c r="Y103" s="110"/>
    </row>
    <row r="104" spans="1:25" ht="21" customHeight="1" thickBot="1" x14ac:dyDescent="0.25">
      <c r="A104" s="1246"/>
      <c r="B104" s="1246"/>
      <c r="C104" s="409" t="s">
        <v>728</v>
      </c>
      <c r="D104" s="1027"/>
      <c r="E104" s="1027"/>
      <c r="F104" s="1027"/>
      <c r="G104" s="1027"/>
      <c r="H104" s="110"/>
      <c r="I104" s="110"/>
      <c r="J104" s="441"/>
      <c r="K104" s="110"/>
      <c r="L104" s="110"/>
      <c r="M104" s="110"/>
      <c r="N104" s="110"/>
      <c r="O104" s="110"/>
      <c r="P104" s="110"/>
      <c r="Q104" s="110"/>
      <c r="R104" s="110"/>
      <c r="S104" s="110"/>
      <c r="T104" s="110"/>
      <c r="U104" s="110"/>
      <c r="V104" s="110"/>
      <c r="W104" s="110"/>
      <c r="X104" s="110"/>
      <c r="Y104" s="110"/>
    </row>
    <row r="105" spans="1:25" ht="21" customHeight="1" thickBot="1" x14ac:dyDescent="0.25">
      <c r="A105" s="1246"/>
      <c r="B105" s="1246"/>
      <c r="C105" s="310" t="s">
        <v>2465</v>
      </c>
      <c r="D105" s="1547"/>
      <c r="E105" s="507"/>
      <c r="F105" s="507"/>
      <c r="G105" s="582">
        <f>IF((OutNone + OutNone1&gt;0),10, 10*AVERAGE(TRAP1A, OUT2A))</f>
        <v>0.76388888888888895</v>
      </c>
      <c r="H105" s="110"/>
      <c r="I105" s="110"/>
      <c r="J105" s="441"/>
      <c r="K105" s="110"/>
      <c r="L105" s="110"/>
      <c r="M105" s="110"/>
      <c r="N105" s="110"/>
      <c r="O105" s="110"/>
      <c r="P105" s="110"/>
      <c r="Q105" s="110"/>
      <c r="R105" s="110"/>
      <c r="S105" s="110"/>
      <c r="T105" s="110"/>
      <c r="U105" s="110"/>
      <c r="V105" s="110"/>
      <c r="W105" s="110"/>
      <c r="X105" s="110"/>
      <c r="Y105" s="110"/>
    </row>
    <row r="106" spans="1:25" ht="21" customHeight="1" thickBot="1" x14ac:dyDescent="0.25">
      <c r="A106" s="1246"/>
      <c r="B106" s="1246"/>
      <c r="C106" s="5"/>
      <c r="D106" s="827"/>
      <c r="E106" s="5"/>
      <c r="F106" s="5"/>
      <c r="G106" s="5"/>
      <c r="H106" s="1390"/>
      <c r="I106" s="830" t="s">
        <v>293</v>
      </c>
      <c r="J106" s="141"/>
      <c r="K106" s="110"/>
      <c r="L106" s="110"/>
      <c r="M106" s="110"/>
      <c r="N106" s="110"/>
      <c r="O106" s="110"/>
      <c r="P106" s="110"/>
      <c r="Q106" s="110"/>
      <c r="R106" s="110"/>
      <c r="S106" s="110"/>
      <c r="T106" s="110"/>
      <c r="U106" s="110"/>
      <c r="V106" s="110"/>
      <c r="W106" s="110"/>
      <c r="X106" s="110"/>
      <c r="Y106" s="110"/>
    </row>
    <row r="107" spans="1:25" ht="42" customHeight="1" x14ac:dyDescent="0.2">
      <c r="A107" s="1463"/>
      <c r="B107" s="1466"/>
      <c r="C107" s="1467"/>
      <c r="D107" s="1468"/>
      <c r="E107" s="5"/>
      <c r="F107" s="5"/>
      <c r="G107" s="5"/>
      <c r="H107" s="1390"/>
      <c r="I107" s="820" t="s">
        <v>303</v>
      </c>
      <c r="J107" s="141"/>
      <c r="K107" s="110"/>
      <c r="L107" s="110"/>
      <c r="M107" s="110"/>
      <c r="N107" s="110"/>
      <c r="O107" s="110"/>
      <c r="P107" s="110"/>
      <c r="Q107" s="110"/>
      <c r="R107" s="110"/>
      <c r="S107" s="110"/>
      <c r="T107" s="110"/>
      <c r="U107" s="110"/>
      <c r="V107" s="110"/>
      <c r="W107" s="110"/>
      <c r="X107" s="110"/>
      <c r="Y107" s="110"/>
    </row>
    <row r="108" spans="1:25" ht="38.25" x14ac:dyDescent="0.2">
      <c r="A108" s="1463"/>
      <c r="B108" s="1466"/>
      <c r="C108" s="1467"/>
      <c r="D108" s="1618"/>
      <c r="E108" s="5"/>
      <c r="F108" s="5"/>
      <c r="G108" s="5"/>
      <c r="H108" s="1390"/>
      <c r="I108" s="1407" t="s">
        <v>304</v>
      </c>
      <c r="J108" s="141"/>
      <c r="K108" s="110"/>
      <c r="L108" s="110"/>
      <c r="M108" s="110"/>
      <c r="N108" s="110"/>
      <c r="O108" s="110"/>
      <c r="P108" s="110"/>
      <c r="Q108" s="110"/>
      <c r="R108" s="110"/>
      <c r="S108" s="110"/>
      <c r="T108" s="110"/>
      <c r="U108" s="110"/>
      <c r="V108" s="110"/>
      <c r="W108" s="110"/>
      <c r="X108" s="110"/>
      <c r="Y108" s="110"/>
    </row>
    <row r="109" spans="1:25" ht="27" customHeight="1" x14ac:dyDescent="0.2">
      <c r="A109" s="1463"/>
      <c r="B109" s="1463"/>
      <c r="C109" s="1467"/>
      <c r="D109" s="1618"/>
      <c r="E109" s="5"/>
      <c r="F109" s="5"/>
      <c r="G109" s="5"/>
      <c r="H109" s="1390"/>
      <c r="I109" s="1407" t="s">
        <v>2292</v>
      </c>
      <c r="J109" s="141"/>
      <c r="K109" s="110"/>
      <c r="L109" s="110"/>
      <c r="M109" s="110"/>
      <c r="N109" s="110"/>
      <c r="O109" s="110"/>
      <c r="P109" s="110"/>
      <c r="Q109" s="110"/>
      <c r="R109" s="110"/>
      <c r="S109" s="110"/>
      <c r="T109" s="110"/>
      <c r="U109" s="110"/>
      <c r="V109" s="110"/>
      <c r="W109" s="110"/>
      <c r="X109" s="110"/>
      <c r="Y109" s="110"/>
    </row>
    <row r="110" spans="1:25" ht="27.75" customHeight="1" x14ac:dyDescent="0.2">
      <c r="A110" s="1463"/>
      <c r="B110" s="1463"/>
      <c r="C110" s="1595"/>
      <c r="D110" s="1619"/>
      <c r="E110" s="5"/>
      <c r="F110" s="5"/>
      <c r="G110" s="5"/>
      <c r="H110" s="1390"/>
      <c r="I110" s="1407" t="s">
        <v>305</v>
      </c>
      <c r="J110" s="141"/>
      <c r="K110" s="110"/>
      <c r="L110" s="110"/>
      <c r="M110" s="110"/>
      <c r="N110" s="110"/>
      <c r="O110" s="110"/>
      <c r="P110" s="110"/>
      <c r="Q110" s="110"/>
      <c r="R110" s="110"/>
      <c r="S110" s="110"/>
      <c r="T110" s="110"/>
      <c r="U110" s="110"/>
      <c r="V110" s="110"/>
      <c r="W110" s="110"/>
      <c r="X110" s="110"/>
      <c r="Y110" s="110"/>
    </row>
    <row r="111" spans="1:25" ht="42" customHeight="1" x14ac:dyDescent="0.2">
      <c r="A111" s="1463"/>
      <c r="B111" s="1463"/>
      <c r="C111" s="1464"/>
      <c r="D111" s="1619"/>
      <c r="E111" s="5"/>
      <c r="F111" s="5"/>
      <c r="G111" s="5"/>
      <c r="H111" s="1390"/>
      <c r="I111" s="1407" t="s">
        <v>306</v>
      </c>
      <c r="J111" s="141"/>
      <c r="K111" s="110"/>
      <c r="L111" s="110"/>
      <c r="M111" s="110"/>
      <c r="N111" s="110"/>
      <c r="O111" s="110"/>
      <c r="P111" s="110"/>
      <c r="Q111" s="110"/>
      <c r="R111" s="110"/>
      <c r="S111" s="110"/>
      <c r="T111" s="110"/>
      <c r="U111" s="110"/>
      <c r="V111" s="110"/>
      <c r="W111" s="110"/>
      <c r="X111" s="110"/>
      <c r="Y111" s="110"/>
    </row>
    <row r="112" spans="1:25" ht="27" customHeight="1" x14ac:dyDescent="0.2">
      <c r="A112" s="2095"/>
      <c r="B112" s="1466"/>
      <c r="C112" s="1467"/>
      <c r="D112" s="1468"/>
      <c r="E112" s="5"/>
      <c r="F112" s="5"/>
      <c r="G112" s="940"/>
      <c r="H112" s="1390"/>
      <c r="I112" s="1407" t="s">
        <v>307</v>
      </c>
      <c r="J112" s="141"/>
      <c r="K112" s="110"/>
      <c r="L112" s="110"/>
      <c r="M112" s="110"/>
      <c r="N112" s="110"/>
      <c r="O112" s="110"/>
      <c r="P112" s="110"/>
      <c r="Q112" s="110"/>
      <c r="R112" s="110"/>
      <c r="S112" s="110"/>
      <c r="T112" s="110"/>
      <c r="U112" s="110"/>
      <c r="V112" s="110"/>
      <c r="W112" s="110"/>
      <c r="X112" s="110"/>
      <c r="Y112" s="110"/>
    </row>
    <row r="113" spans="1:26" ht="42" customHeight="1" x14ac:dyDescent="0.2">
      <c r="A113" s="2095"/>
      <c r="B113" s="1466"/>
      <c r="C113" s="1467"/>
      <c r="D113" s="1618"/>
      <c r="E113" s="5"/>
      <c r="F113" s="5"/>
      <c r="G113" s="5"/>
      <c r="H113" s="1390"/>
      <c r="I113" s="1407" t="s">
        <v>308</v>
      </c>
      <c r="J113" s="141"/>
      <c r="K113" s="110"/>
      <c r="L113" s="110"/>
      <c r="M113" s="110"/>
      <c r="N113" s="110"/>
      <c r="O113" s="110"/>
      <c r="P113" s="110"/>
      <c r="Q113" s="110"/>
      <c r="R113" s="110"/>
      <c r="S113" s="110"/>
      <c r="T113" s="110"/>
      <c r="U113" s="110"/>
      <c r="V113" s="110"/>
      <c r="W113" s="110"/>
      <c r="X113" s="110"/>
      <c r="Y113" s="110"/>
    </row>
    <row r="114" spans="1:26" ht="38.25" x14ac:dyDescent="0.2">
      <c r="A114" s="1463"/>
      <c r="B114" s="583"/>
      <c r="C114" s="1467"/>
      <c r="D114" s="1618"/>
      <c r="E114" s="5"/>
      <c r="F114" s="5"/>
      <c r="G114" s="5"/>
      <c r="H114" s="1390"/>
      <c r="I114" s="1407" t="s">
        <v>323</v>
      </c>
      <c r="J114" s="141"/>
      <c r="K114" s="110"/>
      <c r="L114" s="110"/>
      <c r="M114" s="110"/>
      <c r="N114" s="110"/>
      <c r="O114" s="110"/>
      <c r="P114" s="110"/>
      <c r="Q114" s="110"/>
      <c r="R114" s="110"/>
      <c r="S114" s="110"/>
      <c r="T114" s="110"/>
      <c r="U114" s="110"/>
      <c r="V114" s="110"/>
      <c r="W114" s="110"/>
      <c r="X114" s="110"/>
      <c r="Y114" s="110"/>
    </row>
    <row r="115" spans="1:26" s="6" customFormat="1" ht="42" customHeight="1" x14ac:dyDescent="0.2">
      <c r="H115" s="1389"/>
      <c r="I115" s="1407" t="s">
        <v>309</v>
      </c>
      <c r="J115" s="141"/>
      <c r="K115" s="110"/>
      <c r="L115" s="110"/>
      <c r="M115" s="110"/>
      <c r="N115" s="110"/>
      <c r="O115" s="110"/>
      <c r="P115" s="110"/>
      <c r="Q115" s="110"/>
      <c r="R115" s="110"/>
      <c r="S115" s="110"/>
      <c r="T115" s="110"/>
      <c r="U115" s="110"/>
      <c r="V115" s="110"/>
      <c r="W115" s="110"/>
      <c r="X115" s="110"/>
      <c r="Y115" s="110"/>
    </row>
    <row r="116" spans="1:26" s="214" customFormat="1" ht="42" customHeight="1" thickBot="1" x14ac:dyDescent="0.25">
      <c r="A116" s="6"/>
      <c r="B116" s="6"/>
      <c r="C116" s="6"/>
      <c r="D116" s="6"/>
      <c r="E116" s="6"/>
      <c r="F116" s="6"/>
      <c r="G116" s="6"/>
      <c r="H116" s="1389"/>
      <c r="I116" s="572" t="s">
        <v>1805</v>
      </c>
      <c r="J116" s="141"/>
      <c r="K116" s="110"/>
      <c r="L116" s="110"/>
      <c r="M116" s="110"/>
      <c r="N116" s="110"/>
      <c r="O116" s="110"/>
      <c r="P116" s="110"/>
      <c r="Q116" s="110"/>
      <c r="R116" s="110"/>
      <c r="S116" s="110"/>
      <c r="T116" s="110"/>
      <c r="U116" s="110"/>
      <c r="V116" s="110"/>
      <c r="W116" s="110"/>
      <c r="X116" s="110"/>
      <c r="Y116" s="110"/>
      <c r="Z116" s="128"/>
    </row>
    <row r="117" spans="1:26" ht="27" customHeight="1" x14ac:dyDescent="0.2">
      <c r="A117" s="6"/>
      <c r="D117" s="6"/>
      <c r="E117" s="6"/>
      <c r="F117" s="6"/>
      <c r="G117" s="6"/>
      <c r="H117" s="110"/>
      <c r="I117" s="135"/>
      <c r="J117" s="441"/>
      <c r="K117" s="110"/>
      <c r="L117" s="110"/>
      <c r="M117" s="110"/>
      <c r="N117" s="110"/>
      <c r="O117" s="110"/>
      <c r="P117" s="110"/>
      <c r="Q117" s="110"/>
      <c r="R117" s="110"/>
      <c r="S117" s="110"/>
      <c r="T117" s="110"/>
      <c r="U117" s="110"/>
      <c r="V117" s="110"/>
      <c r="W117" s="110"/>
      <c r="X117" s="110"/>
      <c r="Y117" s="110"/>
    </row>
    <row r="118" spans="1:26" ht="42.75" customHeight="1" x14ac:dyDescent="0.2">
      <c r="A118" s="6"/>
      <c r="D118" s="6"/>
      <c r="E118" s="6"/>
      <c r="F118" s="6"/>
      <c r="G118" s="6"/>
      <c r="H118" s="110"/>
      <c r="I118" s="135"/>
    </row>
    <row r="119" spans="1:26" ht="27" customHeight="1" x14ac:dyDescent="0.2">
      <c r="A119" s="6"/>
      <c r="D119" s="6"/>
      <c r="E119" s="6"/>
      <c r="F119" s="6"/>
      <c r="G119" s="6"/>
      <c r="H119" s="110"/>
      <c r="I119" s="135"/>
    </row>
    <row r="120" spans="1:26" ht="27" customHeight="1" x14ac:dyDescent="0.2">
      <c r="A120" s="6"/>
      <c r="D120" s="6"/>
      <c r="E120" s="6"/>
      <c r="F120" s="6"/>
      <c r="G120" s="6"/>
      <c r="H120" s="110"/>
      <c r="I120" s="135"/>
    </row>
    <row r="121" spans="1:26" x14ac:dyDescent="0.2">
      <c r="A121" s="6"/>
      <c r="D121" s="6"/>
      <c r="E121" s="6"/>
      <c r="F121" s="6"/>
      <c r="G121" s="6"/>
      <c r="H121" s="110"/>
      <c r="I121" s="135"/>
    </row>
    <row r="122" spans="1:26" x14ac:dyDescent="0.2">
      <c r="I122" s="135"/>
    </row>
    <row r="123" spans="1:26" x14ac:dyDescent="0.2">
      <c r="I123" s="135"/>
    </row>
    <row r="124" spans="1:26" x14ac:dyDescent="0.2">
      <c r="I124" s="135"/>
    </row>
    <row r="148" spans="3:9" x14ac:dyDescent="0.2">
      <c r="C148" s="110"/>
      <c r="H148" s="441"/>
      <c r="I148" s="136"/>
    </row>
    <row r="149" spans="3:9" x14ac:dyDescent="0.2">
      <c r="C149" s="110"/>
      <c r="H149" s="441"/>
      <c r="I149" s="136"/>
    </row>
    <row r="150" spans="3:9" x14ac:dyDescent="0.2">
      <c r="C150" s="110"/>
      <c r="H150" s="441"/>
      <c r="I150" s="136"/>
    </row>
    <row r="151" spans="3:9" x14ac:dyDescent="0.2">
      <c r="C151" s="110"/>
      <c r="H151" s="441"/>
      <c r="I151" s="136"/>
    </row>
    <row r="152" spans="3:9" x14ac:dyDescent="0.2">
      <c r="C152" s="110"/>
      <c r="H152" s="441"/>
      <c r="I152" s="136"/>
    </row>
    <row r="153" spans="3:9" x14ac:dyDescent="0.2">
      <c r="C153" s="110"/>
      <c r="H153" s="441"/>
      <c r="I153" s="136"/>
    </row>
    <row r="154" spans="3:9" x14ac:dyDescent="0.2">
      <c r="C154" s="110"/>
      <c r="H154" s="441"/>
      <c r="I154" s="136"/>
    </row>
    <row r="155" spans="3:9" x14ac:dyDescent="0.2">
      <c r="C155" s="110"/>
      <c r="H155" s="441"/>
      <c r="I155" s="136"/>
    </row>
    <row r="156" spans="3:9" x14ac:dyDescent="0.2">
      <c r="C156" s="110"/>
      <c r="H156" s="441"/>
      <c r="I156" s="136"/>
    </row>
    <row r="157" spans="3:9" x14ac:dyDescent="0.2">
      <c r="C157" s="110"/>
      <c r="H157" s="441"/>
      <c r="I157" s="136"/>
    </row>
    <row r="158" spans="3:9" x14ac:dyDescent="0.2">
      <c r="C158" s="110"/>
      <c r="H158" s="441"/>
      <c r="I158" s="136"/>
    </row>
    <row r="159" spans="3:9" x14ac:dyDescent="0.2">
      <c r="C159" s="110"/>
      <c r="H159" s="441"/>
      <c r="I159" s="136"/>
    </row>
    <row r="160" spans="3:9" x14ac:dyDescent="0.2">
      <c r="C160" s="110"/>
      <c r="H160" s="441"/>
      <c r="I160" s="136"/>
    </row>
    <row r="161" spans="1:10" x14ac:dyDescent="0.2">
      <c r="C161" s="110"/>
      <c r="H161" s="441"/>
      <c r="I161" s="136"/>
    </row>
    <row r="162" spans="1:10" x14ac:dyDescent="0.2">
      <c r="C162" s="110"/>
      <c r="H162" s="441"/>
      <c r="I162" s="136"/>
    </row>
    <row r="163" spans="1:10" x14ac:dyDescent="0.2">
      <c r="C163" s="110"/>
      <c r="H163" s="441"/>
      <c r="I163" s="136"/>
    </row>
    <row r="164" spans="1:10" x14ac:dyDescent="0.2">
      <c r="C164" s="110"/>
      <c r="H164" s="441"/>
      <c r="I164" s="136"/>
    </row>
    <row r="165" spans="1:10" s="940" customFormat="1" x14ac:dyDescent="0.2">
      <c r="A165" s="135"/>
      <c r="B165" s="110"/>
      <c r="C165" s="110"/>
      <c r="D165" s="579"/>
      <c r="E165" s="579"/>
      <c r="F165" s="579"/>
      <c r="G165" s="230"/>
      <c r="H165" s="441"/>
      <c r="I165" s="136"/>
      <c r="J165" s="573"/>
    </row>
    <row r="166" spans="1:10" s="940" customFormat="1" x14ac:dyDescent="0.2">
      <c r="A166" s="135"/>
      <c r="B166" s="110"/>
      <c r="C166" s="110"/>
      <c r="D166" s="579"/>
      <c r="E166" s="579"/>
      <c r="F166" s="579"/>
      <c r="G166" s="230"/>
      <c r="H166" s="441"/>
      <c r="I166" s="136"/>
      <c r="J166" s="573"/>
    </row>
    <row r="167" spans="1:10" s="940" customFormat="1" x14ac:dyDescent="0.2">
      <c r="A167" s="135"/>
      <c r="B167" s="110"/>
      <c r="C167" s="110"/>
      <c r="D167" s="579"/>
      <c r="E167" s="579"/>
      <c r="F167" s="579"/>
      <c r="G167" s="230"/>
      <c r="H167" s="441"/>
      <c r="I167" s="136"/>
      <c r="J167" s="573"/>
    </row>
    <row r="168" spans="1:10" s="940" customFormat="1" x14ac:dyDescent="0.2">
      <c r="A168" s="135"/>
      <c r="B168" s="110"/>
      <c r="C168" s="110"/>
      <c r="D168" s="579"/>
      <c r="E168" s="579"/>
      <c r="F168" s="579"/>
      <c r="G168" s="230"/>
      <c r="H168" s="441"/>
      <c r="I168" s="136"/>
      <c r="J168" s="573"/>
    </row>
    <row r="169" spans="1:10" s="940" customFormat="1" x14ac:dyDescent="0.2">
      <c r="A169" s="135"/>
      <c r="B169" s="110"/>
      <c r="C169" s="110"/>
      <c r="D169" s="579"/>
      <c r="E169" s="579"/>
      <c r="F169" s="579"/>
      <c r="G169" s="230"/>
      <c r="H169" s="441"/>
      <c r="I169" s="136"/>
      <c r="J169" s="573"/>
    </row>
    <row r="170" spans="1:10" s="940" customFormat="1" x14ac:dyDescent="0.2">
      <c r="A170" s="135"/>
      <c r="B170" s="110"/>
      <c r="C170" s="110"/>
      <c r="D170" s="579"/>
      <c r="E170" s="579"/>
      <c r="F170" s="579"/>
      <c r="G170" s="230"/>
      <c r="H170" s="441"/>
      <c r="I170" s="136"/>
      <c r="J170" s="573"/>
    </row>
    <row r="171" spans="1:10" s="940" customFormat="1" x14ac:dyDescent="0.2">
      <c r="A171" s="135"/>
      <c r="B171" s="110"/>
      <c r="C171" s="110"/>
      <c r="D171" s="579"/>
      <c r="E171" s="579"/>
      <c r="F171" s="579"/>
      <c r="G171" s="230"/>
      <c r="H171" s="441"/>
      <c r="I171" s="136"/>
      <c r="J171" s="573"/>
    </row>
    <row r="172" spans="1:10" s="940" customFormat="1" x14ac:dyDescent="0.2">
      <c r="A172" s="135"/>
      <c r="B172" s="110"/>
      <c r="C172" s="110"/>
      <c r="D172" s="579"/>
      <c r="E172" s="579"/>
      <c r="F172" s="579"/>
      <c r="G172" s="230"/>
      <c r="H172" s="441"/>
      <c r="I172" s="136"/>
      <c r="J172" s="573"/>
    </row>
    <row r="173" spans="1:10" s="940" customFormat="1" x14ac:dyDescent="0.2">
      <c r="A173" s="135"/>
      <c r="B173" s="110"/>
      <c r="C173" s="110"/>
      <c r="D173" s="579"/>
      <c r="E173" s="579"/>
      <c r="F173" s="579"/>
      <c r="G173" s="230"/>
      <c r="H173" s="441"/>
      <c r="I173" s="136"/>
      <c r="J173" s="573"/>
    </row>
    <row r="174" spans="1:10" s="940" customFormat="1" x14ac:dyDescent="0.2">
      <c r="A174" s="135"/>
      <c r="B174" s="110"/>
      <c r="C174" s="110"/>
      <c r="D174" s="579"/>
      <c r="E174" s="579"/>
      <c r="F174" s="579"/>
      <c r="G174" s="230"/>
      <c r="H174" s="441"/>
      <c r="I174" s="136"/>
      <c r="J174" s="573"/>
    </row>
    <row r="175" spans="1:10" s="940" customFormat="1" x14ac:dyDescent="0.2">
      <c r="A175" s="135"/>
      <c r="B175" s="110"/>
      <c r="C175" s="110"/>
      <c r="D175" s="579"/>
      <c r="E175" s="579"/>
      <c r="F175" s="579"/>
      <c r="G175" s="230"/>
      <c r="H175" s="441"/>
      <c r="I175" s="136"/>
      <c r="J175" s="573"/>
    </row>
    <row r="176" spans="1:10" s="940" customFormat="1" x14ac:dyDescent="0.2">
      <c r="A176" s="135"/>
      <c r="B176" s="110"/>
      <c r="C176" s="110"/>
      <c r="D176" s="579"/>
      <c r="E176" s="579"/>
      <c r="F176" s="579"/>
      <c r="G176" s="230"/>
      <c r="H176" s="441"/>
      <c r="I176" s="136"/>
      <c r="J176" s="573"/>
    </row>
    <row r="177" spans="1:10" s="940" customFormat="1" x14ac:dyDescent="0.2">
      <c r="A177" s="135"/>
      <c r="B177" s="110"/>
      <c r="C177" s="110"/>
      <c r="D177" s="579"/>
      <c r="E177" s="579"/>
      <c r="F177" s="579"/>
      <c r="G177" s="230"/>
      <c r="H177" s="441"/>
      <c r="I177" s="136"/>
      <c r="J177" s="573"/>
    </row>
    <row r="178" spans="1:10" s="940" customFormat="1" x14ac:dyDescent="0.2">
      <c r="A178" s="135"/>
      <c r="B178" s="110"/>
      <c r="C178" s="110"/>
      <c r="D178" s="579"/>
      <c r="E178" s="579"/>
      <c r="F178" s="579"/>
      <c r="G178" s="230"/>
      <c r="H178" s="441"/>
      <c r="I178" s="136"/>
      <c r="J178" s="573"/>
    </row>
    <row r="179" spans="1:10" s="940" customFormat="1" x14ac:dyDescent="0.2">
      <c r="A179" s="135"/>
      <c r="B179" s="110"/>
      <c r="C179" s="110"/>
      <c r="D179" s="579"/>
      <c r="E179" s="579"/>
      <c r="F179" s="579"/>
      <c r="G179" s="230"/>
      <c r="H179" s="441"/>
      <c r="I179" s="136"/>
      <c r="J179" s="573"/>
    </row>
    <row r="180" spans="1:10" s="940" customFormat="1" x14ac:dyDescent="0.2">
      <c r="A180" s="135"/>
      <c r="B180" s="110"/>
      <c r="C180" s="110"/>
      <c r="D180" s="579"/>
      <c r="E180" s="579"/>
      <c r="F180" s="579"/>
      <c r="G180" s="230"/>
      <c r="H180" s="441"/>
      <c r="I180" s="136"/>
      <c r="J180" s="573"/>
    </row>
    <row r="181" spans="1:10" s="940" customFormat="1" x14ac:dyDescent="0.2">
      <c r="A181" s="135"/>
      <c r="B181" s="110"/>
      <c r="C181" s="110"/>
      <c r="D181" s="579"/>
      <c r="E181" s="579"/>
      <c r="F181" s="579"/>
      <c r="G181" s="230"/>
      <c r="H181" s="441"/>
      <c r="I181" s="136"/>
      <c r="J181" s="573"/>
    </row>
    <row r="182" spans="1:10" s="940" customFormat="1" x14ac:dyDescent="0.2">
      <c r="A182" s="135"/>
      <c r="B182" s="110"/>
      <c r="C182" s="110"/>
      <c r="D182" s="579"/>
      <c r="E182" s="579"/>
      <c r="F182" s="579"/>
      <c r="G182" s="230"/>
      <c r="H182" s="441"/>
      <c r="I182" s="136"/>
      <c r="J182" s="573"/>
    </row>
    <row r="183" spans="1:10" s="940" customFormat="1" x14ac:dyDescent="0.2">
      <c r="A183" s="135"/>
      <c r="B183" s="110"/>
      <c r="C183" s="110"/>
      <c r="D183" s="579"/>
      <c r="E183" s="579"/>
      <c r="F183" s="579"/>
      <c r="G183" s="230"/>
      <c r="H183" s="441"/>
      <c r="I183" s="136"/>
      <c r="J183" s="573"/>
    </row>
    <row r="184" spans="1:10" s="940" customFormat="1" x14ac:dyDescent="0.2">
      <c r="A184" s="135"/>
      <c r="B184" s="110"/>
      <c r="C184" s="110"/>
      <c r="D184" s="579"/>
      <c r="E184" s="579"/>
      <c r="F184" s="579"/>
      <c r="G184" s="230"/>
      <c r="H184" s="441"/>
      <c r="I184" s="136"/>
      <c r="J184" s="573"/>
    </row>
    <row r="185" spans="1:10" s="940" customFormat="1" x14ac:dyDescent="0.2">
      <c r="A185" s="135"/>
      <c r="B185" s="110"/>
      <c r="C185" s="110"/>
      <c r="D185" s="579"/>
      <c r="E185" s="579"/>
      <c r="F185" s="579"/>
      <c r="G185" s="230"/>
      <c r="H185" s="441"/>
      <c r="I185" s="136"/>
      <c r="J185" s="573"/>
    </row>
    <row r="186" spans="1:10" s="940" customFormat="1" x14ac:dyDescent="0.2">
      <c r="A186" s="135"/>
      <c r="B186" s="110"/>
      <c r="C186" s="110"/>
      <c r="D186" s="579"/>
      <c r="E186" s="579"/>
      <c r="F186" s="579"/>
      <c r="G186" s="230"/>
      <c r="H186" s="441"/>
      <c r="I186" s="136"/>
      <c r="J186" s="573"/>
    </row>
    <row r="187" spans="1:10" s="940" customFormat="1" x14ac:dyDescent="0.2">
      <c r="A187" s="135"/>
      <c r="B187" s="110"/>
      <c r="C187" s="110"/>
      <c r="D187" s="579"/>
      <c r="E187" s="579"/>
      <c r="F187" s="579"/>
      <c r="G187" s="230"/>
      <c r="H187" s="441"/>
      <c r="I187" s="136"/>
      <c r="J187" s="573"/>
    </row>
    <row r="188" spans="1:10" s="940" customFormat="1" x14ac:dyDescent="0.2">
      <c r="A188" s="135"/>
      <c r="B188" s="110"/>
      <c r="C188" s="110"/>
      <c r="D188" s="579"/>
      <c r="E188" s="579"/>
      <c r="F188" s="579"/>
      <c r="G188" s="230"/>
      <c r="H188" s="441"/>
      <c r="I188" s="136"/>
      <c r="J188" s="573"/>
    </row>
    <row r="189" spans="1:10" s="940" customFormat="1" x14ac:dyDescent="0.2">
      <c r="A189" s="135"/>
      <c r="B189" s="110"/>
      <c r="C189" s="110"/>
      <c r="D189" s="579"/>
      <c r="E189" s="579"/>
      <c r="F189" s="579"/>
      <c r="G189" s="230"/>
      <c r="H189" s="441"/>
      <c r="I189" s="136"/>
      <c r="J189" s="573"/>
    </row>
    <row r="190" spans="1:10" s="940" customFormat="1" x14ac:dyDescent="0.2">
      <c r="A190" s="135"/>
      <c r="B190" s="110"/>
      <c r="C190" s="110"/>
      <c r="D190" s="579"/>
      <c r="E190" s="579"/>
      <c r="F190" s="579"/>
      <c r="G190" s="230"/>
      <c r="H190" s="441"/>
      <c r="I190" s="136"/>
      <c r="J190" s="573"/>
    </row>
    <row r="191" spans="1:10" s="940" customFormat="1" x14ac:dyDescent="0.2">
      <c r="A191" s="135"/>
      <c r="B191" s="110"/>
      <c r="C191" s="110"/>
      <c r="D191" s="579"/>
      <c r="E191" s="579"/>
      <c r="F191" s="579"/>
      <c r="G191" s="230"/>
      <c r="H191" s="441"/>
      <c r="I191" s="136"/>
      <c r="J191" s="573"/>
    </row>
    <row r="192" spans="1:10" s="940" customFormat="1" x14ac:dyDescent="0.2">
      <c r="A192" s="135"/>
      <c r="B192" s="110"/>
      <c r="C192" s="110"/>
      <c r="D192" s="579"/>
      <c r="E192" s="579"/>
      <c r="F192" s="579"/>
      <c r="G192" s="230"/>
      <c r="H192" s="441"/>
      <c r="I192" s="136"/>
      <c r="J192" s="573"/>
    </row>
    <row r="193" spans="1:10" s="940" customFormat="1" x14ac:dyDescent="0.2">
      <c r="A193" s="135"/>
      <c r="B193" s="110"/>
      <c r="C193" s="110"/>
      <c r="D193" s="579"/>
      <c r="E193" s="579"/>
      <c r="F193" s="579"/>
      <c r="G193" s="230"/>
      <c r="H193" s="441"/>
      <c r="I193" s="136"/>
      <c r="J193" s="573"/>
    </row>
    <row r="194" spans="1:10" s="940" customFormat="1" x14ac:dyDescent="0.2">
      <c r="A194" s="135"/>
      <c r="B194" s="110"/>
      <c r="C194" s="110"/>
      <c r="D194" s="579"/>
      <c r="E194" s="579"/>
      <c r="F194" s="579"/>
      <c r="G194" s="230"/>
      <c r="H194" s="441"/>
      <c r="I194" s="136"/>
      <c r="J194" s="573"/>
    </row>
    <row r="195" spans="1:10" s="940" customFormat="1" x14ac:dyDescent="0.2">
      <c r="A195" s="135"/>
      <c r="B195" s="110"/>
      <c r="C195" s="110"/>
      <c r="D195" s="579"/>
      <c r="E195" s="579"/>
      <c r="F195" s="579"/>
      <c r="G195" s="230"/>
      <c r="H195" s="441"/>
      <c r="I195" s="136"/>
      <c r="J195" s="573"/>
    </row>
    <row r="196" spans="1:10" s="940" customFormat="1" x14ac:dyDescent="0.2">
      <c r="A196" s="135"/>
      <c r="B196" s="110"/>
      <c r="C196" s="110"/>
      <c r="D196" s="579"/>
      <c r="E196" s="579"/>
      <c r="F196" s="579"/>
      <c r="G196" s="230"/>
      <c r="H196" s="441"/>
      <c r="I196" s="136"/>
      <c r="J196" s="573"/>
    </row>
    <row r="197" spans="1:10" s="940" customFormat="1" x14ac:dyDescent="0.2">
      <c r="A197" s="135"/>
      <c r="B197" s="110"/>
      <c r="C197" s="110"/>
      <c r="D197" s="579"/>
      <c r="E197" s="579"/>
      <c r="F197" s="579"/>
      <c r="G197" s="230"/>
      <c r="H197" s="441"/>
      <c r="I197" s="136"/>
      <c r="J197" s="573"/>
    </row>
    <row r="198" spans="1:10" s="940" customFormat="1" x14ac:dyDescent="0.2">
      <c r="A198" s="135"/>
      <c r="B198" s="110"/>
      <c r="C198" s="110"/>
      <c r="D198" s="579"/>
      <c r="E198" s="579"/>
      <c r="F198" s="579"/>
      <c r="G198" s="230"/>
      <c r="H198" s="441"/>
      <c r="I198" s="136"/>
      <c r="J198" s="573"/>
    </row>
    <row r="199" spans="1:10" s="940" customFormat="1" x14ac:dyDescent="0.2">
      <c r="A199" s="135"/>
      <c r="B199" s="110"/>
      <c r="C199" s="110"/>
      <c r="D199" s="579"/>
      <c r="E199" s="579"/>
      <c r="F199" s="579"/>
      <c r="G199" s="230"/>
      <c r="H199" s="441"/>
      <c r="I199" s="136"/>
      <c r="J199" s="573"/>
    </row>
    <row r="200" spans="1:10" s="940" customFormat="1" x14ac:dyDescent="0.2">
      <c r="A200" s="135"/>
      <c r="B200" s="110"/>
      <c r="C200" s="110"/>
      <c r="D200" s="579"/>
      <c r="E200" s="579"/>
      <c r="F200" s="579"/>
      <c r="G200" s="230"/>
      <c r="H200" s="441"/>
      <c r="I200" s="136"/>
      <c r="J200" s="573"/>
    </row>
    <row r="201" spans="1:10" s="940" customFormat="1" x14ac:dyDescent="0.2">
      <c r="A201" s="135"/>
      <c r="B201" s="110"/>
      <c r="C201" s="110"/>
      <c r="D201" s="579"/>
      <c r="E201" s="579"/>
      <c r="F201" s="579"/>
      <c r="G201" s="230"/>
      <c r="H201" s="441"/>
      <c r="I201" s="136"/>
      <c r="J201" s="573"/>
    </row>
    <row r="202" spans="1:10" s="940" customFormat="1" x14ac:dyDescent="0.2">
      <c r="A202" s="135"/>
      <c r="B202" s="110"/>
      <c r="C202" s="110"/>
      <c r="D202" s="579"/>
      <c r="E202" s="579"/>
      <c r="F202" s="579"/>
      <c r="G202" s="230"/>
      <c r="H202" s="441"/>
      <c r="I202" s="136"/>
      <c r="J202" s="573"/>
    </row>
    <row r="203" spans="1:10" s="940" customFormat="1" x14ac:dyDescent="0.2">
      <c r="A203" s="135"/>
      <c r="B203" s="110"/>
      <c r="C203" s="110"/>
      <c r="D203" s="579"/>
      <c r="E203" s="579"/>
      <c r="F203" s="579"/>
      <c r="G203" s="230"/>
      <c r="H203" s="441"/>
      <c r="I203" s="136"/>
      <c r="J203" s="573"/>
    </row>
    <row r="204" spans="1:10" s="940" customFormat="1" x14ac:dyDescent="0.2">
      <c r="A204" s="135"/>
      <c r="B204" s="110"/>
      <c r="C204" s="110"/>
      <c r="D204" s="579"/>
      <c r="E204" s="579"/>
      <c r="F204" s="579"/>
      <c r="G204" s="230"/>
      <c r="H204" s="441"/>
      <c r="I204" s="136"/>
      <c r="J204" s="573"/>
    </row>
    <row r="205" spans="1:10" s="940" customFormat="1" x14ac:dyDescent="0.2">
      <c r="A205" s="135"/>
      <c r="B205" s="110"/>
      <c r="C205" s="110"/>
      <c r="D205" s="579"/>
      <c r="E205" s="579"/>
      <c r="F205" s="579"/>
      <c r="G205" s="230"/>
      <c r="H205" s="441"/>
      <c r="I205" s="136"/>
      <c r="J205" s="573"/>
    </row>
    <row r="206" spans="1:10" s="940" customFormat="1" x14ac:dyDescent="0.2">
      <c r="A206" s="135"/>
      <c r="B206" s="110"/>
      <c r="C206" s="110"/>
      <c r="D206" s="579"/>
      <c r="E206" s="579"/>
      <c r="F206" s="579"/>
      <c r="G206" s="230"/>
      <c r="H206" s="441"/>
      <c r="I206" s="136"/>
      <c r="J206" s="573"/>
    </row>
    <row r="207" spans="1:10" s="940" customFormat="1" x14ac:dyDescent="0.2">
      <c r="A207" s="135"/>
      <c r="B207" s="110"/>
      <c r="C207" s="110"/>
      <c r="D207" s="579"/>
      <c r="E207" s="579"/>
      <c r="F207" s="579"/>
      <c r="G207" s="230"/>
      <c r="H207" s="441"/>
      <c r="I207" s="136"/>
      <c r="J207" s="573"/>
    </row>
    <row r="208" spans="1:10" s="940" customFormat="1" x14ac:dyDescent="0.2">
      <c r="A208" s="135"/>
      <c r="B208" s="110"/>
      <c r="C208" s="110"/>
      <c r="D208" s="579"/>
      <c r="E208" s="579"/>
      <c r="F208" s="579"/>
      <c r="G208" s="230"/>
      <c r="H208" s="441"/>
      <c r="I208" s="136"/>
      <c r="J208" s="573"/>
    </row>
    <row r="209" spans="1:10" s="940" customFormat="1" x14ac:dyDescent="0.2">
      <c r="A209" s="135"/>
      <c r="B209" s="110"/>
      <c r="C209" s="110"/>
      <c r="D209" s="579"/>
      <c r="E209" s="579"/>
      <c r="F209" s="579"/>
      <c r="G209" s="230"/>
      <c r="H209" s="441"/>
      <c r="I209" s="136"/>
      <c r="J209" s="573"/>
    </row>
    <row r="210" spans="1:10" s="940" customFormat="1" x14ac:dyDescent="0.2">
      <c r="A210" s="135"/>
      <c r="B210" s="110"/>
      <c r="C210" s="110"/>
      <c r="D210" s="579"/>
      <c r="E210" s="579"/>
      <c r="F210" s="579"/>
      <c r="G210" s="230"/>
      <c r="H210" s="441"/>
      <c r="I210" s="136"/>
      <c r="J210" s="573"/>
    </row>
    <row r="211" spans="1:10" s="940" customFormat="1" x14ac:dyDescent="0.2">
      <c r="A211" s="135"/>
      <c r="B211" s="110"/>
      <c r="C211" s="110"/>
      <c r="D211" s="579"/>
      <c r="E211" s="579"/>
      <c r="F211" s="579"/>
      <c r="G211" s="230"/>
      <c r="H211" s="441"/>
      <c r="I211" s="136"/>
      <c r="J211" s="573"/>
    </row>
    <row r="212" spans="1:10" s="940" customFormat="1" x14ac:dyDescent="0.2">
      <c r="A212" s="135"/>
      <c r="B212" s="110"/>
      <c r="C212" s="110"/>
      <c r="D212" s="579"/>
      <c r="E212" s="579"/>
      <c r="F212" s="579"/>
      <c r="G212" s="230"/>
      <c r="H212" s="441"/>
      <c r="I212" s="136"/>
      <c r="J212" s="573"/>
    </row>
    <row r="213" spans="1:10" s="940" customFormat="1" x14ac:dyDescent="0.2">
      <c r="A213" s="135"/>
      <c r="B213" s="110"/>
      <c r="C213" s="110"/>
      <c r="D213" s="579"/>
      <c r="E213" s="579"/>
      <c r="F213" s="579"/>
      <c r="G213" s="230"/>
      <c r="H213" s="441"/>
      <c r="I213" s="136"/>
      <c r="J213" s="573"/>
    </row>
    <row r="214" spans="1:10" s="940" customFormat="1" x14ac:dyDescent="0.2">
      <c r="A214" s="135"/>
      <c r="B214" s="110"/>
      <c r="C214" s="6"/>
      <c r="D214" s="579"/>
      <c r="E214" s="579"/>
      <c r="F214" s="579"/>
      <c r="G214" s="230"/>
      <c r="H214" s="137"/>
      <c r="I214" s="136"/>
      <c r="J214" s="573"/>
    </row>
    <row r="215" spans="1:10" s="940" customFormat="1" x14ac:dyDescent="0.2">
      <c r="A215" s="135"/>
      <c r="B215" s="110"/>
      <c r="C215" s="6"/>
      <c r="D215" s="579"/>
      <c r="E215" s="579"/>
      <c r="F215" s="579"/>
      <c r="G215" s="230"/>
      <c r="H215" s="137"/>
      <c r="I215" s="25"/>
      <c r="J215" s="573"/>
    </row>
    <row r="216" spans="1:10" s="940" customFormat="1" x14ac:dyDescent="0.2">
      <c r="A216" s="135"/>
      <c r="B216" s="110"/>
      <c r="C216" s="6"/>
      <c r="D216" s="579"/>
      <c r="E216" s="579"/>
      <c r="F216" s="579"/>
      <c r="G216" s="230"/>
      <c r="H216" s="137"/>
      <c r="I216" s="25"/>
      <c r="J216" s="573"/>
    </row>
    <row r="217" spans="1:10" s="940" customFormat="1" x14ac:dyDescent="0.2">
      <c r="A217" s="135"/>
      <c r="B217" s="110"/>
      <c r="C217" s="6"/>
      <c r="D217" s="579"/>
      <c r="E217" s="579"/>
      <c r="F217" s="579"/>
      <c r="G217" s="230"/>
      <c r="H217" s="137"/>
      <c r="I217" s="25"/>
      <c r="J217" s="573"/>
    </row>
    <row r="218" spans="1:10" s="940" customFormat="1" x14ac:dyDescent="0.2">
      <c r="A218" s="135"/>
      <c r="B218" s="110"/>
      <c r="C218" s="6"/>
      <c r="D218" s="579"/>
      <c r="E218" s="579"/>
      <c r="F218" s="579"/>
      <c r="G218" s="230"/>
      <c r="H218" s="137"/>
      <c r="I218" s="25"/>
      <c r="J218" s="573"/>
    </row>
    <row r="219" spans="1:10" s="940" customFormat="1" x14ac:dyDescent="0.2">
      <c r="A219" s="135"/>
      <c r="B219" s="110"/>
      <c r="C219" s="6"/>
      <c r="D219" s="579"/>
      <c r="E219" s="579"/>
      <c r="F219" s="579"/>
      <c r="G219" s="230"/>
      <c r="H219" s="137"/>
      <c r="I219" s="25"/>
      <c r="J219" s="573"/>
    </row>
    <row r="220" spans="1:10" s="940" customFormat="1" x14ac:dyDescent="0.2">
      <c r="A220" s="135"/>
      <c r="B220" s="110"/>
      <c r="C220" s="6"/>
      <c r="D220" s="579"/>
      <c r="E220" s="579"/>
      <c r="F220" s="579"/>
      <c r="G220" s="230"/>
      <c r="H220" s="137"/>
      <c r="I220" s="25"/>
      <c r="J220" s="573"/>
    </row>
    <row r="221" spans="1:10" s="940" customFormat="1" x14ac:dyDescent="0.2">
      <c r="A221" s="135"/>
      <c r="B221" s="110"/>
      <c r="C221" s="6"/>
      <c r="D221" s="579"/>
      <c r="E221" s="579"/>
      <c r="F221" s="579"/>
      <c r="G221" s="230"/>
      <c r="H221" s="137"/>
      <c r="I221" s="25"/>
      <c r="J221" s="573"/>
    </row>
    <row r="222" spans="1:10" s="940" customFormat="1" x14ac:dyDescent="0.2">
      <c r="A222" s="135"/>
      <c r="B222" s="110"/>
      <c r="C222" s="6"/>
      <c r="D222" s="579"/>
      <c r="E222" s="579"/>
      <c r="F222" s="579"/>
      <c r="G222" s="230"/>
      <c r="H222" s="137"/>
      <c r="I222" s="25"/>
      <c r="J222" s="573"/>
    </row>
    <row r="223" spans="1:10" s="940" customFormat="1" x14ac:dyDescent="0.2">
      <c r="A223" s="135"/>
      <c r="B223" s="110"/>
      <c r="C223" s="6"/>
      <c r="D223" s="579"/>
      <c r="E223" s="579"/>
      <c r="F223" s="579"/>
      <c r="G223" s="230"/>
      <c r="H223" s="137"/>
      <c r="I223" s="25"/>
      <c r="J223" s="573"/>
    </row>
    <row r="224" spans="1:10" s="940" customFormat="1" x14ac:dyDescent="0.2">
      <c r="A224" s="135"/>
      <c r="B224" s="110"/>
      <c r="C224" s="6"/>
      <c r="D224" s="579"/>
      <c r="E224" s="579"/>
      <c r="F224" s="579"/>
      <c r="G224" s="230"/>
      <c r="H224" s="137"/>
      <c r="I224" s="25"/>
      <c r="J224" s="573"/>
    </row>
    <row r="225" spans="1:10" s="940" customFormat="1" x14ac:dyDescent="0.2">
      <c r="A225" s="135"/>
      <c r="B225" s="110"/>
      <c r="C225" s="6"/>
      <c r="D225" s="579"/>
      <c r="E225" s="579"/>
      <c r="F225" s="579"/>
      <c r="G225" s="230"/>
      <c r="H225" s="137"/>
      <c r="I225" s="25"/>
      <c r="J225" s="573"/>
    </row>
    <row r="226" spans="1:10" s="940" customFormat="1" x14ac:dyDescent="0.2">
      <c r="A226" s="135"/>
      <c r="B226" s="110"/>
      <c r="C226" s="6"/>
      <c r="D226" s="579"/>
      <c r="E226" s="579"/>
      <c r="F226" s="579"/>
      <c r="G226" s="230"/>
      <c r="H226" s="137"/>
      <c r="I226" s="25"/>
      <c r="J226" s="573"/>
    </row>
    <row r="227" spans="1:10" s="940" customFormat="1" x14ac:dyDescent="0.2">
      <c r="A227" s="135"/>
      <c r="B227" s="110"/>
      <c r="C227" s="6"/>
      <c r="D227" s="579"/>
      <c r="E227" s="579"/>
      <c r="F227" s="579"/>
      <c r="G227" s="230"/>
      <c r="H227" s="137"/>
      <c r="I227" s="25"/>
      <c r="J227" s="573"/>
    </row>
    <row r="228" spans="1:10" s="940" customFormat="1" x14ac:dyDescent="0.2">
      <c r="A228" s="135"/>
      <c r="B228" s="110"/>
      <c r="C228" s="6"/>
      <c r="D228" s="579"/>
      <c r="E228" s="579"/>
      <c r="F228" s="579"/>
      <c r="G228" s="230"/>
      <c r="H228" s="137"/>
      <c r="I228" s="25"/>
      <c r="J228" s="573"/>
    </row>
    <row r="229" spans="1:10" s="940" customFormat="1" x14ac:dyDescent="0.2">
      <c r="A229" s="135"/>
      <c r="B229" s="110"/>
      <c r="C229" s="6"/>
      <c r="D229" s="579"/>
      <c r="E229" s="579"/>
      <c r="F229" s="579"/>
      <c r="G229" s="230"/>
      <c r="H229" s="137"/>
      <c r="I229" s="25"/>
      <c r="J229" s="573"/>
    </row>
    <row r="230" spans="1:10" s="940" customFormat="1" x14ac:dyDescent="0.2">
      <c r="A230" s="135"/>
      <c r="B230" s="110"/>
      <c r="C230" s="6"/>
      <c r="D230" s="579"/>
      <c r="E230" s="579"/>
      <c r="F230" s="579"/>
      <c r="G230" s="230"/>
      <c r="H230" s="137"/>
      <c r="I230" s="25"/>
      <c r="J230" s="573"/>
    </row>
    <row r="231" spans="1:10" s="940" customFormat="1" x14ac:dyDescent="0.2">
      <c r="A231" s="19"/>
      <c r="B231" s="6"/>
      <c r="C231" s="6"/>
      <c r="D231" s="577"/>
      <c r="E231" s="577"/>
      <c r="F231" s="577"/>
      <c r="G231" s="179"/>
      <c r="H231" s="137"/>
      <c r="I231" s="25"/>
      <c r="J231" s="573"/>
    </row>
  </sheetData>
  <sheetProtection password="C4B9" sheet="1" objects="1" scenarios="1" formatCells="0" formatColumns="0" formatRows="0" insertColumns="0" insertRows="0" insertHyperlinks="0" deleteColumns="0" deleteRows="0" sort="0" autoFilter="0" pivotTables="0"/>
  <sortState ref="A3:BR8">
    <sortCondition ref="H3:H8"/>
  </sortState>
  <customSheetViews>
    <customSheetView guid="{B8E02330-2419-4DE6-AD01-7ACC7A5D18DD}" scale="75" topLeftCell="A171">
      <selection activeCell="A2" sqref="A2:H175"/>
      <pageMargins left="0.75" right="0.75" top="1" bottom="1" header="0.5" footer="0.5"/>
      <pageSetup orientation="portrait" r:id="rId1"/>
      <headerFooter alignWithMargins="0"/>
    </customSheetView>
  </customSheetViews>
  <mergeCells count="67">
    <mergeCell ref="B90:B94"/>
    <mergeCell ref="A90:A94"/>
    <mergeCell ref="I90:I94"/>
    <mergeCell ref="H90:H94"/>
    <mergeCell ref="A112:A113"/>
    <mergeCell ref="A1:B1"/>
    <mergeCell ref="A54:A59"/>
    <mergeCell ref="B28:B33"/>
    <mergeCell ref="I16:I21"/>
    <mergeCell ref="A22:A27"/>
    <mergeCell ref="B16:B21"/>
    <mergeCell ref="I28:I33"/>
    <mergeCell ref="I22:I27"/>
    <mergeCell ref="B22:B27"/>
    <mergeCell ref="A28:A33"/>
    <mergeCell ref="E1:H1"/>
    <mergeCell ref="H22:H27"/>
    <mergeCell ref="H28:H33"/>
    <mergeCell ref="H54:H59"/>
    <mergeCell ref="A16:A21"/>
    <mergeCell ref="I41:I47"/>
    <mergeCell ref="I60:I63"/>
    <mergeCell ref="B85:B89"/>
    <mergeCell ref="A85:A89"/>
    <mergeCell ref="I85:I89"/>
    <mergeCell ref="H85:H89"/>
    <mergeCell ref="A60:A63"/>
    <mergeCell ref="B76:B79"/>
    <mergeCell ref="B70:B75"/>
    <mergeCell ref="A70:A75"/>
    <mergeCell ref="A76:A79"/>
    <mergeCell ref="H76:H79"/>
    <mergeCell ref="I80:I84"/>
    <mergeCell ref="I76:I79"/>
    <mergeCell ref="I70:I75"/>
    <mergeCell ref="I7:I11"/>
    <mergeCell ref="A64:A69"/>
    <mergeCell ref="A7:A11"/>
    <mergeCell ref="B7:B11"/>
    <mergeCell ref="H7:H11"/>
    <mergeCell ref="H12:H15"/>
    <mergeCell ref="B48:B53"/>
    <mergeCell ref="A41:A47"/>
    <mergeCell ref="H16:H21"/>
    <mergeCell ref="H48:H53"/>
    <mergeCell ref="I64:I69"/>
    <mergeCell ref="B12:B15"/>
    <mergeCell ref="A12:A15"/>
    <mergeCell ref="B64:B69"/>
    <mergeCell ref="I34:I40"/>
    <mergeCell ref="B60:B63"/>
    <mergeCell ref="I12:I15"/>
    <mergeCell ref="A80:A84"/>
    <mergeCell ref="B80:B84"/>
    <mergeCell ref="H80:H84"/>
    <mergeCell ref="H34:H40"/>
    <mergeCell ref="H41:H47"/>
    <mergeCell ref="H60:H63"/>
    <mergeCell ref="H64:H69"/>
    <mergeCell ref="H70:H75"/>
    <mergeCell ref="A34:A40"/>
    <mergeCell ref="A48:A53"/>
    <mergeCell ref="I54:I59"/>
    <mergeCell ref="B41:B47"/>
    <mergeCell ref="B34:B40"/>
    <mergeCell ref="B54:B59"/>
    <mergeCell ref="I48:I53"/>
  </mergeCells>
  <phoneticPr fontId="12" type="noConversion"/>
  <conditionalFormatting sqref="D105 D101:D102 D95:D96 D98:D99 D9:D14 D62:D68 D70:D73 D75:D76 D78:D80 D82:D84 D7 D16:D60">
    <cfRule type="cellIs" dxfId="9" priority="1" operator="greaterThan">
      <formula>0</formula>
    </cfRule>
  </conditionalFormatting>
  <pageMargins left="0.75" right="0.75" top="1" bottom="1"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136"/>
  <sheetViews>
    <sheetView zoomScaleNormal="100" workbookViewId="0">
      <selection activeCell="A15" sqref="A15:A19"/>
    </sheetView>
  </sheetViews>
  <sheetFormatPr defaultColWidth="9.33203125" defaultRowHeight="16.5" x14ac:dyDescent="0.2"/>
  <cols>
    <col min="1" max="1" width="5.83203125" style="5" customWidth="1"/>
    <col min="2" max="2" width="18.83203125" style="25" customWidth="1"/>
    <col min="3" max="3" width="69.83203125" style="5" customWidth="1"/>
    <col min="4" max="4" width="6.83203125" style="577" customWidth="1"/>
    <col min="5" max="5" width="10" style="577" customWidth="1"/>
    <col min="6" max="6" width="6.83203125" style="577" customWidth="1"/>
    <col min="7" max="7" width="15" style="179" customWidth="1"/>
    <col min="8" max="8" width="14.5" style="25" customWidth="1"/>
    <col min="9" max="9" width="67.83203125" style="25" customWidth="1"/>
    <col min="10" max="10" width="9.33203125" style="130"/>
    <col min="11" max="12" width="9.33203125" style="5"/>
    <col min="13" max="13" width="49.5" style="5" customWidth="1"/>
    <col min="14" max="16384" width="9.33203125" style="5"/>
  </cols>
  <sheetData>
    <row r="1" spans="1:11" s="62" customFormat="1" ht="84" customHeight="1" thickBot="1" x14ac:dyDescent="0.25">
      <c r="A1" s="2033" t="s">
        <v>509</v>
      </c>
      <c r="B1" s="2096"/>
      <c r="C1" s="60" t="s">
        <v>875</v>
      </c>
      <c r="D1" s="72" t="s">
        <v>510</v>
      </c>
      <c r="E1" s="2083"/>
      <c r="F1" s="2084"/>
      <c r="G1" s="2084"/>
      <c r="H1" s="2085"/>
      <c r="I1" s="1411" t="s">
        <v>883</v>
      </c>
      <c r="J1" s="130"/>
    </row>
    <row r="2" spans="1:11" s="109" customFormat="1" ht="50.25" thickBot="1" x14ac:dyDescent="0.35">
      <c r="A2" s="1008" t="s">
        <v>78</v>
      </c>
      <c r="B2" s="1009" t="s">
        <v>701</v>
      </c>
      <c r="C2" s="1010" t="s">
        <v>866</v>
      </c>
      <c r="D2" s="1008"/>
      <c r="E2" s="1011"/>
      <c r="F2" s="1012"/>
      <c r="G2" s="1013" t="s">
        <v>710</v>
      </c>
      <c r="H2" s="1009" t="s">
        <v>2029</v>
      </c>
      <c r="I2" s="1009" t="s">
        <v>255</v>
      </c>
      <c r="J2" s="170"/>
    </row>
    <row r="3" spans="1:11" s="108" customFormat="1" ht="30" customHeight="1" thickBot="1" x14ac:dyDescent="0.25">
      <c r="A3" s="418" t="str">
        <f>OF!A4</f>
        <v>OF3</v>
      </c>
      <c r="B3" s="323" t="str">
        <f>OF!C4</f>
        <v>Channel Connection</v>
      </c>
      <c r="C3" s="419"/>
      <c r="D3" s="324"/>
      <c r="E3" s="325"/>
      <c r="F3" s="325"/>
      <c r="G3" s="345" t="str">
        <f>IF((ChannConn=""),"",ChannConn)</f>
        <v/>
      </c>
      <c r="H3" s="422" t="s">
        <v>845</v>
      </c>
      <c r="I3" s="1383" t="s">
        <v>851</v>
      </c>
      <c r="J3" s="171"/>
    </row>
    <row r="4" spans="1:11" s="1325" customFormat="1" ht="60" customHeight="1" thickBot="1" x14ac:dyDescent="0.25">
      <c r="A4" s="317" t="str">
        <f>OF!A24</f>
        <v>OF23</v>
      </c>
      <c r="B4" s="318" t="str">
        <f>OF!C24</f>
        <v>% of AA that is Open Water (macro scale)</v>
      </c>
      <c r="C4" s="425" t="s">
        <v>867</v>
      </c>
      <c r="D4" s="320"/>
      <c r="E4" s="321"/>
      <c r="F4" s="321"/>
      <c r="G4" s="330" t="str">
        <f>IF((OWpct=""),"", OWpct)</f>
        <v/>
      </c>
      <c r="H4" s="423" t="s">
        <v>787</v>
      </c>
      <c r="I4" s="831" t="s">
        <v>1012</v>
      </c>
      <c r="J4" s="1600"/>
      <c r="K4" s="1332"/>
    </row>
    <row r="5" spans="1:11" s="1325" customFormat="1" ht="30" customHeight="1" thickBot="1" x14ac:dyDescent="0.25">
      <c r="A5" s="317" t="str">
        <f>OF!A37</f>
        <v>OF36</v>
      </c>
      <c r="B5" s="864" t="str">
        <f>OF!C37</f>
        <v>Subzero Days</v>
      </c>
      <c r="C5" s="871" t="s">
        <v>867</v>
      </c>
      <c r="D5" s="764"/>
      <c r="E5" s="765"/>
      <c r="F5" s="765"/>
      <c r="G5" s="809" t="str">
        <f>IF((Sub0Days=""),"",Sub0Days)</f>
        <v/>
      </c>
      <c r="H5" s="872" t="s">
        <v>689</v>
      </c>
      <c r="I5" s="831" t="s">
        <v>1013</v>
      </c>
      <c r="J5" s="1600"/>
      <c r="K5" s="1192"/>
    </row>
    <row r="6" spans="1:11" s="1325" customFormat="1" ht="30" customHeight="1" thickBot="1" x14ac:dyDescent="0.25">
      <c r="A6" s="418" t="str">
        <f>OF!A50</f>
        <v>OF49</v>
      </c>
      <c r="B6" s="323" t="str">
        <f>OF!C50</f>
        <v>Wetland Vegetated Area (in hectares)</v>
      </c>
      <c r="C6" s="420"/>
      <c r="D6" s="324"/>
      <c r="E6" s="325"/>
      <c r="F6" s="325"/>
      <c r="G6" s="345" t="str">
        <f>IF((WetVegArea=""),"",WetVegArea)</f>
        <v/>
      </c>
      <c r="H6" s="351" t="s">
        <v>656</v>
      </c>
      <c r="I6" s="1383" t="s">
        <v>1014</v>
      </c>
      <c r="J6" s="1600"/>
      <c r="K6" s="1332"/>
    </row>
    <row r="7" spans="1:11" s="1007" customFormat="1" ht="66.75" thickBot="1" x14ac:dyDescent="0.35">
      <c r="A7" s="997" t="s">
        <v>78</v>
      </c>
      <c r="B7" s="1017" t="s">
        <v>709</v>
      </c>
      <c r="C7" s="999" t="s">
        <v>708</v>
      </c>
      <c r="D7" s="1000" t="s">
        <v>33</v>
      </c>
      <c r="E7" s="1018" t="s">
        <v>1131</v>
      </c>
      <c r="F7" s="1002" t="s">
        <v>1130</v>
      </c>
      <c r="G7" s="1003" t="s">
        <v>710</v>
      </c>
      <c r="H7" s="1019" t="s">
        <v>2030</v>
      </c>
      <c r="I7" s="1005" t="s">
        <v>917</v>
      </c>
      <c r="J7" s="1006"/>
    </row>
    <row r="8" spans="1:11" ht="21" customHeight="1" thickBot="1" x14ac:dyDescent="0.25">
      <c r="A8" s="1979" t="str">
        <f>F!A5</f>
        <v>F1</v>
      </c>
      <c r="B8" s="1984" t="str">
        <f>F!B5</f>
        <v>Wetland Type - Predominant</v>
      </c>
      <c r="C8" s="452" t="str">
        <f>F!C5</f>
        <v>Follow the key below and mark the ONE row that best describes MOST of the AA:</v>
      </c>
      <c r="D8" s="777"/>
      <c r="E8" s="376"/>
      <c r="F8" s="376"/>
      <c r="G8" s="225">
        <f>MAX(F9:F14)/MAX(E9:E14)</f>
        <v>0</v>
      </c>
      <c r="H8" s="2000" t="s">
        <v>1715</v>
      </c>
      <c r="I8" s="1984" t="s">
        <v>2428</v>
      </c>
    </row>
    <row r="9" spans="1:11" ht="42" customHeight="1" thickBot="1" x14ac:dyDescent="0.25">
      <c r="A9" s="1980"/>
      <c r="B9" s="1985"/>
      <c r="C9" s="1440" t="str">
        <f>F!C6</f>
        <v>A. Moss and/or lichen cover more than 25% of the ground. Substrate is mostly undecomposed peat. Choose between A1 and A2 and mark the choice with a 1 in their adjoining column. Otherwise go to B below.</v>
      </c>
      <c r="D9" s="1441"/>
      <c r="E9" s="775"/>
      <c r="F9" s="775"/>
      <c r="G9" s="775"/>
      <c r="H9" s="1989"/>
      <c r="I9" s="1985"/>
    </row>
    <row r="10" spans="1:11" ht="89.25" x14ac:dyDescent="0.2">
      <c r="A10" s="1980"/>
      <c r="B10" s="1985"/>
      <c r="C10" s="924" t="str">
        <f>F!C7</f>
        <v xml:space="preserve">   A1. Surface water is usually absent or, if present, pH is typically &lt;4.5 and conductivity is &lt;100 µS/cm (about 64 ppm TDS).  Often dominated by ericaceous shrubs (e.g., Labrador tea, lingonberry), sometimes with pitcher plant, sundew. Sedge cover usually sparse or absent. Trees, if present, are mainly limited to black spruce.  Wetland surface is never sloping, except sometimes from wetland center towards outer edges (convex), and surrounding landscape is flat.  Inlet and outlet channels are usually absent.</v>
      </c>
      <c r="D10" s="186">
        <f>F!D7</f>
        <v>0</v>
      </c>
      <c r="E10" s="722">
        <v>2</v>
      </c>
      <c r="F10" s="722">
        <f t="shared" ref="F10:F14" si="0">D10*E10</f>
        <v>0</v>
      </c>
      <c r="G10" s="775"/>
      <c r="H10" s="1989"/>
      <c r="I10" s="1985"/>
    </row>
    <row r="11" spans="1:11" ht="64.5" thickBot="1" x14ac:dyDescent="0.25">
      <c r="A11" s="1980"/>
      <c r="B11" s="1985"/>
      <c r="C11" s="447" t="str">
        <f>F!C8</f>
        <v xml:space="preserve">   A2. Not A1. Surface water, if present, has pH typically &gt;4.5 and conductivity is &gt;100 µS/cm.  Sedges and/or cottongrass often dominate the ground cover, while ericaceous shrubs and black spruce may also be present. Sometimes at toe of slope or edge of water body. An exit channel is usually present. Wetter than A1, often with many small persistent pools.</v>
      </c>
      <c r="D11" s="186">
        <f>F!D8</f>
        <v>0</v>
      </c>
      <c r="E11" s="722">
        <v>2</v>
      </c>
      <c r="F11" s="722">
        <f t="shared" si="0"/>
        <v>0</v>
      </c>
      <c r="G11" s="775"/>
      <c r="H11" s="1989"/>
      <c r="I11" s="1985"/>
    </row>
    <row r="12" spans="1:11" ht="42.75" customHeight="1" thickBot="1" x14ac:dyDescent="0.25">
      <c r="A12" s="1980"/>
      <c r="B12" s="1985"/>
      <c r="C12" s="1440" t="str">
        <f>F!C9</f>
        <v>B. Moss and/or lichen cover less than 25% of the ground. Soil is mineral or decomposed organic (muck). Choose between B1 and B2 and mark the choice with a 1 in their adjoining column:</v>
      </c>
      <c r="D12" s="1441"/>
      <c r="E12" s="775"/>
      <c r="F12" s="775"/>
      <c r="G12" s="775"/>
      <c r="H12" s="1989"/>
      <c r="I12" s="1985"/>
    </row>
    <row r="13" spans="1:11" ht="51" x14ac:dyDescent="0.2">
      <c r="A13" s="1980"/>
      <c r="B13" s="1985"/>
      <c r="C13" s="924" t="str">
        <f>F!C10</f>
        <v xml:space="preserve">   B1. Trees and shrubs taller than 1 m comprise more than 25% of the vegetated cover. Surface water is mostly absent or inundates the vegetation only seasonally (e.g., snowmelt pools or floodplain).  Often in riparian settings, abandoned beaver flowages.</v>
      </c>
      <c r="D13" s="186">
        <f>F!D10</f>
        <v>0</v>
      </c>
      <c r="E13" s="722">
        <v>1</v>
      </c>
      <c r="F13" s="722">
        <f t="shared" si="0"/>
        <v>0</v>
      </c>
      <c r="G13" s="775"/>
      <c r="H13" s="1989"/>
      <c r="I13" s="1985"/>
    </row>
    <row r="14" spans="1:11" ht="77.25" thickBot="1" x14ac:dyDescent="0.25">
      <c r="A14" s="2021"/>
      <c r="B14" s="2005"/>
      <c r="C14" s="534" t="str">
        <f>F!C11</f>
        <v xml:space="preserve">   B2. Not B1.  Tree &amp; tall shrubs taller than 1 m comprise less than 25% of the vegetated cover. Vegetation is mostly herbaceous, e.g., cattail, bulrush, burreed, pond lily, horsetail.  Often in depressions (potholes, created ponds), or along lakes and rivers, or where fill has blocked water movement causing prolonged flooding of wetlands formerly covered by moss.  Surface water often fluctuates widely among seasons and years.</v>
      </c>
      <c r="D14" s="1442">
        <f>F!D11</f>
        <v>0</v>
      </c>
      <c r="E14" s="244">
        <v>1</v>
      </c>
      <c r="F14" s="244">
        <f t="shared" si="0"/>
        <v>0</v>
      </c>
      <c r="G14" s="258"/>
      <c r="H14" s="1990"/>
      <c r="I14" s="2005"/>
    </row>
    <row r="15" spans="1:11" ht="39" thickBot="1" x14ac:dyDescent="0.25">
      <c r="A15" s="2035" t="str">
        <f>F!A63</f>
        <v>F11</v>
      </c>
      <c r="B15" s="1989" t="str">
        <f>F!B63</f>
        <v>% Bare Ground &amp; Thatch</v>
      </c>
      <c r="C15" s="1391" t="str">
        <f>F!C63</f>
        <v>Consider the parts of the AA that lack surface water at the driest time of the growing season.  Viewed from directly above the ground layer, the predominant condition in those areas at that time is:</v>
      </c>
      <c r="D15" s="437"/>
      <c r="E15" s="239"/>
      <c r="F15" s="259"/>
      <c r="G15" s="219">
        <f>MAX(F16:F19)/MAX(E16:E19)</f>
        <v>0</v>
      </c>
      <c r="H15" s="1989" t="s">
        <v>216</v>
      </c>
      <c r="I15" s="1911" t="s">
        <v>261</v>
      </c>
    </row>
    <row r="16" spans="1:11" ht="51" x14ac:dyDescent="0.2">
      <c r="A16" s="2035"/>
      <c r="B16" s="1989"/>
      <c r="C16" s="407" t="str">
        <f>F!C64</f>
        <v>Little or no (&lt;5%) bare ground is visible between erect stems or under canopy anywhere in the vegetated AA. Ground is extensively blanketed by dense thatch, moss, lichens, graminoids with great stem densities, or plants with ground-hugging foliage. </v>
      </c>
      <c r="D16" s="443">
        <f>F!D64</f>
        <v>0</v>
      </c>
      <c r="E16" s="241">
        <v>3</v>
      </c>
      <c r="F16" s="241">
        <f>D16*E16</f>
        <v>0</v>
      </c>
      <c r="G16" s="202"/>
      <c r="H16" s="1989"/>
      <c r="I16" s="1911"/>
    </row>
    <row r="17" spans="1:9" ht="27" customHeight="1" x14ac:dyDescent="0.2">
      <c r="A17" s="2035"/>
      <c r="B17" s="1989"/>
      <c r="C17" s="328" t="str">
        <f>F!C65</f>
        <v>Slightly bare ground (5-20% bare between plants) is visible in places, but those areas comprise less than 5% of the unflooded parts of the AA.</v>
      </c>
      <c r="D17" s="40">
        <f>F!D65</f>
        <v>0</v>
      </c>
      <c r="E17" s="241">
        <v>2</v>
      </c>
      <c r="F17" s="241">
        <f>D17*E17</f>
        <v>0</v>
      </c>
      <c r="G17" s="257"/>
      <c r="H17" s="1989"/>
      <c r="I17" s="1911"/>
    </row>
    <row r="18" spans="1:9" ht="27" customHeight="1" x14ac:dyDescent="0.2">
      <c r="A18" s="2035"/>
      <c r="B18" s="1989"/>
      <c r="C18" s="328" t="str">
        <f>F!C66</f>
        <v>Much bare ground (20-50% bare between plants) is visible in places, and those areas comprise more than 5% of the unflooded parts of the AA. </v>
      </c>
      <c r="D18" s="40">
        <f>F!D66</f>
        <v>0</v>
      </c>
      <c r="E18" s="241">
        <v>1</v>
      </c>
      <c r="F18" s="241">
        <f>D18*E18</f>
        <v>0</v>
      </c>
      <c r="G18" s="257"/>
      <c r="H18" s="1989"/>
      <c r="I18" s="1911"/>
    </row>
    <row r="19" spans="1:9" ht="15" customHeight="1" thickBot="1" x14ac:dyDescent="0.25">
      <c r="A19" s="2035"/>
      <c r="B19" s="1989"/>
      <c r="C19" s="366" t="str">
        <f>F!C67</f>
        <v>Other conditions.</v>
      </c>
      <c r="D19" s="356">
        <f>F!D67</f>
        <v>0</v>
      </c>
      <c r="E19" s="380">
        <v>0</v>
      </c>
      <c r="F19" s="380">
        <f>D19*E19</f>
        <v>0</v>
      </c>
      <c r="G19" s="433"/>
      <c r="H19" s="1989"/>
      <c r="I19" s="1911"/>
    </row>
    <row r="20" spans="1:9" ht="60" customHeight="1" thickBot="1" x14ac:dyDescent="0.25">
      <c r="A20" s="2036" t="str">
        <f>F!A69</f>
        <v>F12</v>
      </c>
      <c r="B20" s="2000" t="str">
        <f>F!B69</f>
        <v>Ground Irregularity</v>
      </c>
      <c r="C20" s="104" t="str">
        <f>F!C69</f>
        <v>Consider the parts of the AA that lack surface water at some time of the year.  The number of hummocks, small pits, raised mounds, upturned trees, animal burrows, gullies, natural levees, microdepressions, and other areas of peat or mineral soil that are raised or depressed &gt;10 cm compared to most of the area immediately surrounding them is:</v>
      </c>
      <c r="D20" s="372"/>
      <c r="E20" s="376"/>
      <c r="F20" s="262"/>
      <c r="G20" s="225">
        <f>MAX(F21:F23)/MAX(E21:E23)</f>
        <v>0</v>
      </c>
      <c r="H20" s="2000" t="s">
        <v>217</v>
      </c>
      <c r="I20" s="1867" t="s">
        <v>52</v>
      </c>
    </row>
    <row r="21" spans="1:9" ht="25.5" x14ac:dyDescent="0.2">
      <c r="A21" s="2035"/>
      <c r="B21" s="1989"/>
      <c r="C21" s="407" t="str">
        <f>F!C70</f>
        <v xml:space="preserve">Few or none (minimal microtopography; &lt;1% of the land has such features, or entire site is always water-covered). </v>
      </c>
      <c r="D21" s="359">
        <f>F!D70</f>
        <v>0</v>
      </c>
      <c r="E21" s="377">
        <v>0</v>
      </c>
      <c r="F21" s="377">
        <f>D21*E21</f>
        <v>0</v>
      </c>
      <c r="G21" s="202"/>
      <c r="H21" s="1989"/>
      <c r="I21" s="1911"/>
    </row>
    <row r="22" spans="1:9" ht="15" customHeight="1" x14ac:dyDescent="0.2">
      <c r="A22" s="2035"/>
      <c r="B22" s="1989"/>
      <c r="C22" s="328" t="str">
        <f>F!C71</f>
        <v>Intermediate.</v>
      </c>
      <c r="D22" s="359">
        <f>F!D71</f>
        <v>0</v>
      </c>
      <c r="E22" s="377">
        <v>1</v>
      </c>
      <c r="F22" s="377">
        <f>D22*E22</f>
        <v>0</v>
      </c>
      <c r="G22" s="257"/>
      <c r="H22" s="1989"/>
      <c r="I22" s="1911"/>
    </row>
    <row r="23" spans="1:9" ht="15" customHeight="1" thickBot="1" x14ac:dyDescent="0.25">
      <c r="A23" s="2037"/>
      <c r="B23" s="1990"/>
      <c r="C23" s="329" t="str">
        <f>F!C72</f>
        <v>Several (extensive micro-topography).</v>
      </c>
      <c r="D23" s="81">
        <f>F!D72</f>
        <v>0</v>
      </c>
      <c r="E23" s="244">
        <v>2</v>
      </c>
      <c r="F23" s="244">
        <f>D23*E23</f>
        <v>0</v>
      </c>
      <c r="G23" s="258"/>
      <c r="H23" s="1990"/>
      <c r="I23" s="1978"/>
    </row>
    <row r="24" spans="1:9" ht="45" customHeight="1" thickBot="1" x14ac:dyDescent="0.25">
      <c r="A24" s="2038" t="str">
        <f>F!A77</f>
        <v>F14</v>
      </c>
      <c r="B24" s="1989" t="str">
        <f>F!B77</f>
        <v>Soil Texture</v>
      </c>
      <c r="C24" s="877" t="str">
        <f>F!C77</f>
        <v>In parts of the AA that lack persistent water, the texture of soil in the uppermost layer is mostly:  [To determine this, use a trowel to check in at least 3 widely spaced locations, and use the soil texture key in Appendix A of the Manual].</v>
      </c>
      <c r="D24" s="238"/>
      <c r="E24" s="239"/>
      <c r="F24" s="259"/>
      <c r="G24" s="219">
        <f>MAX(F25:F30)/MAX(E25:E30)</f>
        <v>0</v>
      </c>
      <c r="H24" s="1989" t="s">
        <v>218</v>
      </c>
      <c r="I24" s="1911" t="s">
        <v>564</v>
      </c>
    </row>
    <row r="25" spans="1:9" ht="15" customHeight="1" x14ac:dyDescent="0.2">
      <c r="A25" s="2038"/>
      <c r="B25" s="1989"/>
      <c r="C25" s="426" t="str">
        <f>F!C78</f>
        <v>Loamy: includes loam, sandy loam.</v>
      </c>
      <c r="D25" s="91">
        <f>F!D78</f>
        <v>0</v>
      </c>
      <c r="E25" s="241">
        <v>2</v>
      </c>
      <c r="F25" s="241">
        <f t="shared" ref="F25:F30" si="1">D25*E25</f>
        <v>0</v>
      </c>
      <c r="G25" s="202"/>
      <c r="H25" s="1989"/>
      <c r="I25" s="1911"/>
    </row>
    <row r="26" spans="1:9" ht="27" customHeight="1" x14ac:dyDescent="0.2">
      <c r="A26" s="2038"/>
      <c r="B26" s="1989"/>
      <c r="C26" s="362" t="str">
        <f>F!C79</f>
        <v>Fines: includes silt, glacial flour, clay, clay loam, silty clay, silty clay loam, sandy clay, sandy clay loam.</v>
      </c>
      <c r="D26" s="91">
        <f>F!D79</f>
        <v>0</v>
      </c>
      <c r="E26" s="241">
        <v>3</v>
      </c>
      <c r="F26" s="241">
        <f t="shared" si="1"/>
        <v>0</v>
      </c>
      <c r="G26" s="257"/>
      <c r="H26" s="1989"/>
      <c r="I26" s="1911"/>
    </row>
    <row r="27" spans="1:9" ht="15" customHeight="1" x14ac:dyDescent="0.2">
      <c r="A27" s="2038"/>
      <c r="B27" s="1989"/>
      <c r="C27" s="362" t="str">
        <f>F!C80</f>
        <v>Peat, present to 40 cm depth or greater.</v>
      </c>
      <c r="D27" s="91">
        <f>F!D80</f>
        <v>0</v>
      </c>
      <c r="E27" s="241">
        <v>5</v>
      </c>
      <c r="F27" s="241">
        <f t="shared" si="1"/>
        <v>0</v>
      </c>
      <c r="G27" s="257"/>
      <c r="H27" s="1989"/>
      <c r="I27" s="1911"/>
    </row>
    <row r="28" spans="1:9" ht="15" customHeight="1" x14ac:dyDescent="0.2">
      <c r="A28" s="2038"/>
      <c r="B28" s="1989"/>
      <c r="C28" s="362" t="str">
        <f>F!C81</f>
        <v>Peat, but becomes mineral before reaching 40 cm depth.</v>
      </c>
      <c r="D28" s="91">
        <f>F!D81</f>
        <v>0</v>
      </c>
      <c r="E28" s="380">
        <v>4</v>
      </c>
      <c r="F28" s="380">
        <f t="shared" si="1"/>
        <v>0</v>
      </c>
      <c r="G28" s="721"/>
      <c r="H28" s="1989"/>
      <c r="I28" s="1911"/>
    </row>
    <row r="29" spans="1:9" ht="15" customHeight="1" x14ac:dyDescent="0.2">
      <c r="A29" s="2038"/>
      <c r="B29" s="1989"/>
      <c r="C29" s="362" t="str">
        <f>F!C82</f>
        <v>Organic or organic muck, but becomes mineral before reaching 40 cm depth.</v>
      </c>
      <c r="D29" s="91">
        <f>F!D82</f>
        <v>0</v>
      </c>
      <c r="E29" s="380">
        <v>4</v>
      </c>
      <c r="F29" s="380">
        <f t="shared" si="1"/>
        <v>0</v>
      </c>
      <c r="G29" s="721"/>
      <c r="H29" s="1989"/>
      <c r="I29" s="1911"/>
    </row>
    <row r="30" spans="1:9" ht="27" customHeight="1" thickBot="1" x14ac:dyDescent="0.25">
      <c r="A30" s="2038"/>
      <c r="B30" s="1989"/>
      <c r="C30" s="361" t="str">
        <f>F!C83</f>
        <v>Coarse: includes sand, loamy sand, gravel, cobble, stones, boulders, fluvents, fluvaquents, riverwash.</v>
      </c>
      <c r="D30" s="101">
        <f>F!D83</f>
        <v>0</v>
      </c>
      <c r="E30" s="242">
        <v>0</v>
      </c>
      <c r="F30" s="242">
        <f t="shared" si="1"/>
        <v>0</v>
      </c>
      <c r="G30" s="433"/>
      <c r="H30" s="1989"/>
      <c r="I30" s="1911"/>
    </row>
    <row r="31" spans="1:9" ht="39" thickBot="1" x14ac:dyDescent="0.25">
      <c r="A31" s="1979" t="str">
        <f>F!A121</f>
        <v>F22</v>
      </c>
      <c r="B31" s="1984" t="str">
        <f>F!B121</f>
        <v>% Never With Surface Water</v>
      </c>
      <c r="C31" s="1443" t="str">
        <f>F!C121</f>
        <v>The percentage of the AA that never contains surface water during an average year (that is, except perhaps for a few hours after snowmelt or rainstorms), but which is still a wetland, is:</v>
      </c>
      <c r="D31" s="282"/>
      <c r="E31" s="282"/>
      <c r="F31" s="256"/>
      <c r="G31" s="225">
        <f>MAX(F32:F36)/MAX(E32:E36)</f>
        <v>0</v>
      </c>
      <c r="H31" s="2000" t="s">
        <v>467</v>
      </c>
      <c r="I31" s="1867" t="s">
        <v>283</v>
      </c>
    </row>
    <row r="32" spans="1:9" ht="42" customHeight="1" x14ac:dyDescent="0.2">
      <c r="A32" s="1980"/>
      <c r="B32" s="1985"/>
      <c r="C32" s="1444" t="str">
        <f>F!C122</f>
        <v>&lt;0.01 hectare (about 10 m on a side) and &lt;1% of the AA never has surface water.  In other words, all or nearly all of the AA is covered by water permanently or at least seasonally.</v>
      </c>
      <c r="D32" s="778">
        <f>F!D122</f>
        <v>0</v>
      </c>
      <c r="E32" s="734">
        <v>0</v>
      </c>
      <c r="F32" s="722">
        <f>D32*E32</f>
        <v>0</v>
      </c>
      <c r="G32" s="775"/>
      <c r="H32" s="1989"/>
      <c r="I32" s="1911"/>
    </row>
    <row r="33" spans="1:9" ht="15" customHeight="1" x14ac:dyDescent="0.2">
      <c r="A33" s="1980"/>
      <c r="B33" s="1985"/>
      <c r="C33" s="1445" t="str">
        <f>F!C123</f>
        <v>1-25% of the AA never contains surface water.</v>
      </c>
      <c r="D33" s="778">
        <f>F!D123</f>
        <v>0</v>
      </c>
      <c r="E33" s="734">
        <v>1</v>
      </c>
      <c r="F33" s="722">
        <f>D33*E33</f>
        <v>0</v>
      </c>
      <c r="G33" s="775"/>
      <c r="H33" s="1989"/>
      <c r="I33" s="1911"/>
    </row>
    <row r="34" spans="1:9" ht="15" customHeight="1" x14ac:dyDescent="0.2">
      <c r="A34" s="1980"/>
      <c r="B34" s="1985"/>
      <c r="C34" s="1445" t="str">
        <f>F!C124</f>
        <v>25-50% of the AA never contains surface water.</v>
      </c>
      <c r="D34" s="778">
        <f>F!D124</f>
        <v>0</v>
      </c>
      <c r="E34" s="734">
        <v>2</v>
      </c>
      <c r="F34" s="722">
        <f>D34*E34</f>
        <v>0</v>
      </c>
      <c r="G34" s="775"/>
      <c r="H34" s="1989"/>
      <c r="I34" s="1911"/>
    </row>
    <row r="35" spans="1:9" ht="15" customHeight="1" x14ac:dyDescent="0.2">
      <c r="A35" s="1980"/>
      <c r="B35" s="1985"/>
      <c r="C35" s="1445" t="str">
        <f>F!C125</f>
        <v>50-99% of the AA never contains surface water.</v>
      </c>
      <c r="D35" s="778">
        <f>F!D125</f>
        <v>0</v>
      </c>
      <c r="E35" s="734">
        <v>3</v>
      </c>
      <c r="F35" s="722">
        <f>D35*E35</f>
        <v>0</v>
      </c>
      <c r="G35" s="775"/>
      <c r="H35" s="1989"/>
      <c r="I35" s="1911"/>
    </row>
    <row r="36" spans="1:9" ht="41.25" customHeight="1" thickBot="1" x14ac:dyDescent="0.25">
      <c r="A36" s="1980"/>
      <c r="B36" s="2005"/>
      <c r="C36" s="1446" t="str">
        <f>F!C126</f>
        <v>&gt;99% of the AA never contains surface water, except perhaps for water flowing in channels and/or in pools that occupy &lt;1% of the AA. SKIP to F48 (Channel Connection &amp; Outflow Duration).</v>
      </c>
      <c r="D36" s="778">
        <f>F!D126</f>
        <v>0</v>
      </c>
      <c r="E36" s="272">
        <v>4</v>
      </c>
      <c r="F36" s="244">
        <f>D36*E36</f>
        <v>0</v>
      </c>
      <c r="G36" s="258"/>
      <c r="H36" s="1990"/>
      <c r="I36" s="1911"/>
    </row>
    <row r="37" spans="1:9" ht="36" customHeight="1" thickBot="1" x14ac:dyDescent="0.25">
      <c r="A37" s="2036" t="str">
        <f>F!A127</f>
        <v>F23</v>
      </c>
      <c r="B37" s="2000" t="str">
        <f>F!B127</f>
        <v>% with Persistent Surface Water</v>
      </c>
      <c r="C37" s="104" t="str">
        <f>F!C127</f>
        <v>The percentage of the AA that has surface water (either ponded or flowing, either open or obscured by vegetation) during all of the growing season during most years is:</v>
      </c>
      <c r="D37" s="777"/>
      <c r="E37" s="376"/>
      <c r="F37" s="262"/>
      <c r="G37" s="225">
        <f>IF((AllSat1&gt;0),"",MAX(F38:F43)/MAX(E38:E43))</f>
        <v>0</v>
      </c>
      <c r="H37" s="2000" t="s">
        <v>209</v>
      </c>
      <c r="I37" s="1867" t="s">
        <v>1015</v>
      </c>
    </row>
    <row r="38" spans="1:9" ht="15" customHeight="1" x14ac:dyDescent="0.2">
      <c r="A38" s="2035"/>
      <c r="B38" s="1989"/>
      <c r="C38" s="995" t="str">
        <f>F!C128</f>
        <v>&lt;0.01 hectare and &lt;1% of the AA.  SKIP to F27 (% Flooded Only Seasonally).</v>
      </c>
      <c r="D38" s="443">
        <f>F!D128</f>
        <v>0</v>
      </c>
      <c r="E38" s="239">
        <v>5</v>
      </c>
      <c r="F38" s="722">
        <f t="shared" ref="F38:F43" si="2">D38*E38</f>
        <v>0</v>
      </c>
      <c r="G38" s="202"/>
      <c r="H38" s="1989"/>
      <c r="I38" s="1911"/>
    </row>
    <row r="39" spans="1:9" ht="15" customHeight="1" x14ac:dyDescent="0.2">
      <c r="A39" s="2035"/>
      <c r="B39" s="1989"/>
      <c r="C39" s="996" t="str">
        <f>F!C129</f>
        <v>1-5% of the AA.</v>
      </c>
      <c r="D39" s="737">
        <f>F!D129</f>
        <v>0</v>
      </c>
      <c r="E39" s="239">
        <v>4</v>
      </c>
      <c r="F39" s="722">
        <f t="shared" si="2"/>
        <v>0</v>
      </c>
      <c r="G39" s="202"/>
      <c r="H39" s="1989"/>
      <c r="I39" s="1911"/>
    </row>
    <row r="40" spans="1:9" ht="15" customHeight="1" x14ac:dyDescent="0.2">
      <c r="A40" s="2035"/>
      <c r="B40" s="1989"/>
      <c r="C40" s="996" t="str">
        <f>F!C130</f>
        <v>5-25% of the AA.</v>
      </c>
      <c r="D40" s="737">
        <f>F!D130</f>
        <v>0</v>
      </c>
      <c r="E40" s="722">
        <v>4</v>
      </c>
      <c r="F40" s="722">
        <f t="shared" si="2"/>
        <v>0</v>
      </c>
      <c r="G40" s="202"/>
      <c r="H40" s="1989"/>
      <c r="I40" s="1911"/>
    </row>
    <row r="41" spans="1:9" ht="15" customHeight="1" x14ac:dyDescent="0.2">
      <c r="A41" s="2035"/>
      <c r="B41" s="1989"/>
      <c r="C41" s="996" t="str">
        <f>F!C131</f>
        <v>25-50% of the AA.</v>
      </c>
      <c r="D41" s="737">
        <f>F!D131</f>
        <v>0</v>
      </c>
      <c r="E41" s="722">
        <v>3</v>
      </c>
      <c r="F41" s="722">
        <f t="shared" si="2"/>
        <v>0</v>
      </c>
      <c r="G41" s="775"/>
      <c r="H41" s="1989"/>
      <c r="I41" s="1911"/>
    </row>
    <row r="42" spans="1:9" ht="15" customHeight="1" x14ac:dyDescent="0.2">
      <c r="A42" s="2035"/>
      <c r="B42" s="1989"/>
      <c r="C42" s="996" t="str">
        <f>F!C132</f>
        <v>50-95% of the AA.</v>
      </c>
      <c r="D42" s="737">
        <f>F!D132</f>
        <v>0</v>
      </c>
      <c r="E42" s="722">
        <v>2</v>
      </c>
      <c r="F42" s="722">
        <f t="shared" si="2"/>
        <v>0</v>
      </c>
      <c r="G42" s="775"/>
      <c r="H42" s="1989"/>
      <c r="I42" s="1911"/>
    </row>
    <row r="43" spans="1:9" ht="21" customHeight="1" thickBot="1" x14ac:dyDescent="0.25">
      <c r="A43" s="2037"/>
      <c r="B43" s="1990"/>
      <c r="C43" s="329" t="str">
        <f>F!C133</f>
        <v>&gt;95% of the AA.</v>
      </c>
      <c r="D43" s="81">
        <f>F!D133</f>
        <v>0</v>
      </c>
      <c r="E43" s="244">
        <v>1</v>
      </c>
      <c r="F43" s="244">
        <f t="shared" si="2"/>
        <v>0</v>
      </c>
      <c r="G43" s="258"/>
      <c r="H43" s="1990"/>
      <c r="I43" s="1978"/>
    </row>
    <row r="44" spans="1:9" ht="60" customHeight="1" thickBot="1" x14ac:dyDescent="0.25">
      <c r="A44" s="462" t="str">
        <f>F!A141</f>
        <v>F26</v>
      </c>
      <c r="B44" s="333" t="str">
        <f>F!B141</f>
        <v>Lacustrine Wetland</v>
      </c>
      <c r="C44" s="1447" t="str">
        <f>F!C141</f>
        <v>The AA borders a body of ponded open water whose size -- not counting the vegetated AA -- exceeds 8 hectares (about 300 x 300 m) during most of the growing season.  Enter "1" if true, "0" if false.</v>
      </c>
      <c r="D44" s="1448">
        <f>F!D141</f>
        <v>0</v>
      </c>
      <c r="E44" s="269"/>
      <c r="F44" s="270"/>
      <c r="G44" s="225">
        <f>IF((AllSat1&gt;D298),"",IF((NoPersis=1),"",D44))</f>
        <v>0</v>
      </c>
      <c r="H44" s="77" t="s">
        <v>208</v>
      </c>
      <c r="I44" s="791" t="s">
        <v>1016</v>
      </c>
    </row>
    <row r="45" spans="1:9" ht="39" customHeight="1" thickBot="1" x14ac:dyDescent="0.25">
      <c r="A45" s="2052" t="str">
        <f>F!A148</f>
        <v>F28</v>
      </c>
      <c r="B45" s="1989" t="str">
        <f>F!B148</f>
        <v>Annual Water Fluctuation Range</v>
      </c>
      <c r="C45" s="1391" t="str">
        <f>F!C148</f>
        <v>The annual fluctuation in surface water level within most of the parts of the AA that contain surface water is:</v>
      </c>
      <c r="D45" s="238"/>
      <c r="E45" s="239"/>
      <c r="F45" s="259"/>
      <c r="G45" s="219">
        <f>IF((AllSat1&gt;0),"",IF((NoSeasonal=1),"",MAX(F46:F50)/MAX(E46:E50)))</f>
        <v>0</v>
      </c>
      <c r="H45" s="1989" t="s">
        <v>210</v>
      </c>
      <c r="I45" s="1911" t="s">
        <v>1017</v>
      </c>
    </row>
    <row r="46" spans="1:9" ht="18" customHeight="1" x14ac:dyDescent="0.2">
      <c r="A46" s="2052"/>
      <c r="B46" s="1989"/>
      <c r="C46" s="407" t="str">
        <f>F!C149</f>
        <v xml:space="preserve">&lt;10 cm change (stable or nearly so) </v>
      </c>
      <c r="D46" s="443">
        <f>F!D149</f>
        <v>0</v>
      </c>
      <c r="E46" s="241">
        <v>5</v>
      </c>
      <c r="F46" s="241">
        <f>D46*E46</f>
        <v>0</v>
      </c>
      <c r="G46" s="202"/>
      <c r="H46" s="1989"/>
      <c r="I46" s="1911"/>
    </row>
    <row r="47" spans="1:9" ht="18" customHeight="1" x14ac:dyDescent="0.2">
      <c r="A47" s="2052"/>
      <c r="B47" s="1989"/>
      <c r="C47" s="328" t="str">
        <f>F!C150</f>
        <v>10 cm - 50 cm change</v>
      </c>
      <c r="D47" s="40">
        <f>F!D150</f>
        <v>0</v>
      </c>
      <c r="E47" s="260">
        <v>4</v>
      </c>
      <c r="F47" s="241">
        <f>D47*E47</f>
        <v>0</v>
      </c>
      <c r="G47" s="257"/>
      <c r="H47" s="1989"/>
      <c r="I47" s="1911"/>
    </row>
    <row r="48" spans="1:9" ht="18" customHeight="1" x14ac:dyDescent="0.2">
      <c r="A48" s="2052"/>
      <c r="B48" s="1989"/>
      <c r="C48" s="328" t="str">
        <f>F!C151</f>
        <v>0.5 - 1 m change</v>
      </c>
      <c r="D48" s="40">
        <f>F!D151</f>
        <v>0</v>
      </c>
      <c r="E48" s="779">
        <v>3</v>
      </c>
      <c r="F48" s="241">
        <f>D48*E48</f>
        <v>0</v>
      </c>
      <c r="G48" s="775"/>
      <c r="H48" s="1989"/>
      <c r="I48" s="1911"/>
    </row>
    <row r="49" spans="1:10" ht="18" customHeight="1" x14ac:dyDescent="0.2">
      <c r="A49" s="2052"/>
      <c r="B49" s="1989"/>
      <c r="C49" s="328" t="str">
        <f>F!C152</f>
        <v>1-2 m change</v>
      </c>
      <c r="D49" s="40">
        <f>F!D152</f>
        <v>0</v>
      </c>
      <c r="E49" s="241">
        <v>2</v>
      </c>
      <c r="F49" s="241">
        <f>D49*E49</f>
        <v>0</v>
      </c>
      <c r="G49" s="257"/>
      <c r="H49" s="1989"/>
      <c r="I49" s="1911"/>
    </row>
    <row r="50" spans="1:10" ht="18" customHeight="1" thickBot="1" x14ac:dyDescent="0.25">
      <c r="A50" s="2052"/>
      <c r="B50" s="1989"/>
      <c r="C50" s="366" t="str">
        <f>F!C153</f>
        <v>&gt;2 m change</v>
      </c>
      <c r="D50" s="22">
        <f>F!D153</f>
        <v>0</v>
      </c>
      <c r="E50" s="242">
        <v>1</v>
      </c>
      <c r="F50" s="242">
        <f>D50*E50</f>
        <v>0</v>
      </c>
      <c r="G50" s="433"/>
      <c r="H50" s="1989"/>
      <c r="I50" s="1911"/>
    </row>
    <row r="51" spans="1:10" ht="51.75" thickBot="1" x14ac:dyDescent="0.25">
      <c r="A51" s="2103" t="str">
        <f>F!A155</f>
        <v>F29</v>
      </c>
      <c r="B51" s="2000" t="str">
        <f>F!B155</f>
        <v>Predominant Depth Class</v>
      </c>
      <c r="C51" s="104" t="str">
        <f>F!C155</f>
        <v>During most of the time when water is present, its depth in most of the area is: [Note: This is not asking for the maximum depth]. If a ponded body of open water that adjoins the AA is larger than 8 ha, include its waters in this estimate, but only those waters within a distance from the AA that is equal to the vegetated AA's width]</v>
      </c>
      <c r="D51" s="372"/>
      <c r="E51" s="376"/>
      <c r="F51" s="262"/>
      <c r="G51" s="225">
        <f>IF((AllSat1&gt;0),"", IF((SmallAA=1),"", MAX(F52:F56)/MAX(E52:E56)))</f>
        <v>0</v>
      </c>
      <c r="H51" s="2000" t="s">
        <v>211</v>
      </c>
      <c r="I51" s="1867" t="s">
        <v>1018</v>
      </c>
    </row>
    <row r="52" spans="1:10" ht="15" customHeight="1" x14ac:dyDescent="0.2">
      <c r="A52" s="2104"/>
      <c r="B52" s="1989"/>
      <c r="C52" s="407" t="str">
        <f>F!C156</f>
        <v>&lt;10 cm deep (but &gt;0).</v>
      </c>
      <c r="D52" s="359">
        <f>F!D156</f>
        <v>0</v>
      </c>
      <c r="E52" s="377">
        <v>1</v>
      </c>
      <c r="F52" s="377">
        <f>D52*E52</f>
        <v>0</v>
      </c>
      <c r="G52" s="202"/>
      <c r="H52" s="1989"/>
      <c r="I52" s="1911"/>
    </row>
    <row r="53" spans="1:10" ht="15" customHeight="1" x14ac:dyDescent="0.2">
      <c r="A53" s="2104"/>
      <c r="B53" s="1989"/>
      <c r="C53" s="328" t="str">
        <f>F!C157</f>
        <v>10 - 50 cm deep.</v>
      </c>
      <c r="D53" s="359">
        <f>F!D157</f>
        <v>0</v>
      </c>
      <c r="E53" s="377">
        <v>2</v>
      </c>
      <c r="F53" s="377">
        <f>D53*E53</f>
        <v>0</v>
      </c>
      <c r="G53" s="257"/>
      <c r="H53" s="1989"/>
      <c r="I53" s="1911"/>
    </row>
    <row r="54" spans="1:10" ht="15" customHeight="1" x14ac:dyDescent="0.2">
      <c r="A54" s="2104"/>
      <c r="B54" s="1989"/>
      <c r="C54" s="328" t="str">
        <f>F!C158</f>
        <v>0.5 - 1 m deep.</v>
      </c>
      <c r="D54" s="359">
        <f>F!D158</f>
        <v>0</v>
      </c>
      <c r="E54" s="377">
        <v>5</v>
      </c>
      <c r="F54" s="377">
        <f>D54*E54</f>
        <v>0</v>
      </c>
      <c r="G54" s="257"/>
      <c r="H54" s="1989"/>
      <c r="I54" s="1911"/>
    </row>
    <row r="55" spans="1:10" ht="15" customHeight="1" x14ac:dyDescent="0.2">
      <c r="A55" s="2104"/>
      <c r="B55" s="1989"/>
      <c r="C55" s="328" t="str">
        <f>F!C159</f>
        <v>1 - 2 m deep.</v>
      </c>
      <c r="D55" s="359">
        <f>F!D159</f>
        <v>0</v>
      </c>
      <c r="E55" s="377">
        <v>4</v>
      </c>
      <c r="F55" s="377">
        <f>D55*E55</f>
        <v>0</v>
      </c>
      <c r="G55" s="257"/>
      <c r="H55" s="1989"/>
      <c r="I55" s="1911"/>
    </row>
    <row r="56" spans="1:10" ht="15" customHeight="1" thickBot="1" x14ac:dyDescent="0.25">
      <c r="A56" s="2105"/>
      <c r="B56" s="1990"/>
      <c r="C56" s="329" t="str">
        <f>F!C160</f>
        <v>&gt;2 m deep.  True for many fringe wetlands.</v>
      </c>
      <c r="D56" s="81">
        <f>F!D160</f>
        <v>0</v>
      </c>
      <c r="E56" s="244">
        <v>3</v>
      </c>
      <c r="F56" s="244">
        <f>D56*E56</f>
        <v>0</v>
      </c>
      <c r="G56" s="258"/>
      <c r="H56" s="1990"/>
      <c r="I56" s="1978"/>
    </row>
    <row r="57" spans="1:10" ht="42" customHeight="1" thickBot="1" x14ac:dyDescent="0.25">
      <c r="A57" s="2078" t="str">
        <f>F!A173</f>
        <v>F33</v>
      </c>
      <c r="B57" s="2080" t="str">
        <f>F!B173</f>
        <v xml:space="preserve">% of Ponded Water That Is Open </v>
      </c>
      <c r="C57" s="471" t="str">
        <f>F!C173</f>
        <v>In ducks-eye aerial view, the percentage of the ponded water that is open (lacking emergent vegetation during most of the growing season, and unhidden by a forest or shrub canopy) is:</v>
      </c>
      <c r="D57" s="372"/>
      <c r="E57" s="376"/>
      <c r="F57" s="262"/>
      <c r="G57" s="225">
        <f>IF((AllSat1&gt;0),"",IF((NoPonded=1),"", IF((SmallAA=1),"", MAX(F58:F63)/MAX(E58:E63))))</f>
        <v>0</v>
      </c>
      <c r="H57" s="2000" t="s">
        <v>721</v>
      </c>
      <c r="I57" s="1867" t="s">
        <v>1048</v>
      </c>
    </row>
    <row r="58" spans="1:10" ht="27" customHeight="1" x14ac:dyDescent="0.2">
      <c r="A58" s="2039"/>
      <c r="B58" s="2081"/>
      <c r="C58" s="1449" t="str">
        <f>F!C174</f>
        <v>None, or &lt;1% of the AA and largest pool occupies &lt;0.01 hectares.  Enter "1" and SKIP to F41 (Floating Algae &amp; Duckweed).</v>
      </c>
      <c r="D58" s="1450">
        <f>F!D174</f>
        <v>0</v>
      </c>
      <c r="E58" s="377">
        <v>5</v>
      </c>
      <c r="F58" s="377">
        <f t="shared" ref="F58:F63" si="3">D58*E58</f>
        <v>0</v>
      </c>
      <c r="G58" s="202"/>
      <c r="H58" s="1989"/>
      <c r="I58" s="1911"/>
    </row>
    <row r="59" spans="1:10" ht="15" customHeight="1" x14ac:dyDescent="0.2">
      <c r="A59" s="2039"/>
      <c r="B59" s="2081"/>
      <c r="C59" s="1451" t="str">
        <f>F!C175</f>
        <v>1-5% of the ponded water.  Enter "1" and SKIP to F41.</v>
      </c>
      <c r="D59" s="434">
        <f>F!D175</f>
        <v>0</v>
      </c>
      <c r="E59" s="377">
        <v>4</v>
      </c>
      <c r="F59" s="377">
        <f t="shared" si="3"/>
        <v>0</v>
      </c>
      <c r="G59" s="257"/>
      <c r="H59" s="1989"/>
      <c r="I59" s="1911"/>
    </row>
    <row r="60" spans="1:10" ht="15" customHeight="1" x14ac:dyDescent="0.2">
      <c r="A60" s="2039"/>
      <c r="B60" s="2081"/>
      <c r="C60" s="1451" t="str">
        <f>F!C176</f>
        <v>5-30% of the ponded water.</v>
      </c>
      <c r="D60" s="434">
        <f>F!D176</f>
        <v>0</v>
      </c>
      <c r="E60" s="377">
        <v>3</v>
      </c>
      <c r="F60" s="377">
        <f t="shared" si="3"/>
        <v>0</v>
      </c>
      <c r="G60" s="257"/>
      <c r="H60" s="1989"/>
      <c r="I60" s="1911"/>
    </row>
    <row r="61" spans="1:10" ht="15" customHeight="1" x14ac:dyDescent="0.2">
      <c r="A61" s="2039"/>
      <c r="B61" s="2081"/>
      <c r="C61" s="1451" t="str">
        <f>F!C177</f>
        <v>30-70% of the ponded water.</v>
      </c>
      <c r="D61" s="434">
        <f>F!D177</f>
        <v>0</v>
      </c>
      <c r="E61" s="377">
        <v>2</v>
      </c>
      <c r="F61" s="377">
        <f t="shared" si="3"/>
        <v>0</v>
      </c>
      <c r="G61" s="257"/>
      <c r="H61" s="1989"/>
      <c r="I61" s="1911"/>
    </row>
    <row r="62" spans="1:10" ht="15" customHeight="1" x14ac:dyDescent="0.2">
      <c r="A62" s="2039"/>
      <c r="B62" s="2081"/>
      <c r="C62" s="1451" t="str">
        <f>F!C178</f>
        <v>70-99% of the ponded water.</v>
      </c>
      <c r="D62" s="434">
        <f>F!D178</f>
        <v>0</v>
      </c>
      <c r="E62" s="377">
        <v>1</v>
      </c>
      <c r="F62" s="377">
        <f t="shared" si="3"/>
        <v>0</v>
      </c>
      <c r="G62" s="257"/>
      <c r="H62" s="1989"/>
      <c r="I62" s="1911"/>
    </row>
    <row r="63" spans="1:10" ht="17.25" thickBot="1" x14ac:dyDescent="0.25">
      <c r="A63" s="2079"/>
      <c r="B63" s="2082"/>
      <c r="C63" s="315" t="str">
        <f>F!C179</f>
        <v xml:space="preserve">100% of the ponded water. </v>
      </c>
      <c r="D63" s="102">
        <f>F!D179</f>
        <v>0</v>
      </c>
      <c r="E63" s="244">
        <v>0</v>
      </c>
      <c r="F63" s="244">
        <f t="shared" si="3"/>
        <v>0</v>
      </c>
      <c r="G63" s="258"/>
      <c r="H63" s="1990"/>
      <c r="I63" s="1978"/>
    </row>
    <row r="64" spans="1:10" ht="39" thickBot="1" x14ac:dyDescent="0.25">
      <c r="A64" s="2101" t="str">
        <f>F!A180</f>
        <v>F34</v>
      </c>
      <c r="B64" s="2102" t="str">
        <f>F!B180</f>
        <v>Predominant Width of Vegetated Zone within Wetland</v>
      </c>
      <c r="C64" s="104" t="str">
        <f>F!C180</f>
        <v>At the time during the growing season when the AA's water level is lowest, the average width of vegetated area in the AA that separates adjoining uplands from open water within the AA is:</v>
      </c>
      <c r="D64" s="581"/>
      <c r="E64" s="376"/>
      <c r="F64" s="262"/>
      <c r="G64" s="225" t="str">
        <f>IF((AllSat1&gt;0),"",IF((OpenW=0),"",IF((SmallAA=1),"", MAX(F65:F70)/MAX(E65:E70))))</f>
        <v/>
      </c>
      <c r="H64" s="2000" t="s">
        <v>212</v>
      </c>
      <c r="I64" s="1867" t="s">
        <v>1149</v>
      </c>
      <c r="J64" s="149"/>
    </row>
    <row r="65" spans="1:9" ht="15" customHeight="1" x14ac:dyDescent="0.2">
      <c r="A65" s="2053"/>
      <c r="B65" s="2063"/>
      <c r="C65" s="407" t="str">
        <f>F!C181</f>
        <v>&lt;1 m</v>
      </c>
      <c r="D65" s="443">
        <f>F!D181</f>
        <v>0</v>
      </c>
      <c r="E65" s="377">
        <v>0</v>
      </c>
      <c r="F65" s="377">
        <f t="shared" ref="F65:F70" si="4">D65*E65</f>
        <v>0</v>
      </c>
      <c r="G65" s="202"/>
      <c r="H65" s="1989"/>
      <c r="I65" s="1911"/>
    </row>
    <row r="66" spans="1:9" ht="15" customHeight="1" x14ac:dyDescent="0.2">
      <c r="A66" s="2053"/>
      <c r="B66" s="2063"/>
      <c r="C66" s="407" t="str">
        <f>F!C182</f>
        <v>1 - 9 m</v>
      </c>
      <c r="D66" s="443">
        <f>F!D182</f>
        <v>0</v>
      </c>
      <c r="E66" s="377">
        <v>2</v>
      </c>
      <c r="F66" s="377">
        <f t="shared" si="4"/>
        <v>0</v>
      </c>
      <c r="G66" s="257"/>
      <c r="H66" s="1989"/>
      <c r="I66" s="1911"/>
    </row>
    <row r="67" spans="1:9" ht="15" customHeight="1" x14ac:dyDescent="0.2">
      <c r="A67" s="2053"/>
      <c r="B67" s="2063"/>
      <c r="C67" s="407" t="str">
        <f>F!C183</f>
        <v>10 - 29 m</v>
      </c>
      <c r="D67" s="443">
        <f>F!D183</f>
        <v>0</v>
      </c>
      <c r="E67" s="377">
        <v>3</v>
      </c>
      <c r="F67" s="377">
        <f t="shared" si="4"/>
        <v>0</v>
      </c>
      <c r="G67" s="257"/>
      <c r="H67" s="1989"/>
      <c r="I67" s="1911"/>
    </row>
    <row r="68" spans="1:9" ht="15" customHeight="1" x14ac:dyDescent="0.2">
      <c r="A68" s="2053"/>
      <c r="B68" s="2063"/>
      <c r="C68" s="407" t="str">
        <f>F!C184</f>
        <v>30 - 49 m</v>
      </c>
      <c r="D68" s="443">
        <f>F!D184</f>
        <v>0</v>
      </c>
      <c r="E68" s="377">
        <v>4</v>
      </c>
      <c r="F68" s="377">
        <f t="shared" si="4"/>
        <v>0</v>
      </c>
      <c r="G68" s="257"/>
      <c r="H68" s="1989"/>
      <c r="I68" s="1911"/>
    </row>
    <row r="69" spans="1:9" ht="15" customHeight="1" x14ac:dyDescent="0.2">
      <c r="A69" s="2053"/>
      <c r="B69" s="2063"/>
      <c r="C69" s="407" t="str">
        <f>F!C185</f>
        <v>50 - 100 m</v>
      </c>
      <c r="D69" s="443">
        <f>F!D185</f>
        <v>0</v>
      </c>
      <c r="E69" s="380">
        <v>5</v>
      </c>
      <c r="F69" s="380">
        <f t="shared" si="4"/>
        <v>0</v>
      </c>
      <c r="G69" s="721"/>
      <c r="H69" s="1989"/>
      <c r="I69" s="1911"/>
    </row>
    <row r="70" spans="1:9" ht="18.75" customHeight="1" thickBot="1" x14ac:dyDescent="0.25">
      <c r="A70" s="2074"/>
      <c r="B70" s="2042"/>
      <c r="C70" s="390" t="str">
        <f>F!C186</f>
        <v>&gt; 100 m</v>
      </c>
      <c r="D70" s="1452">
        <f>F!D186</f>
        <v>0</v>
      </c>
      <c r="E70" s="244">
        <v>6</v>
      </c>
      <c r="F70" s="244">
        <f t="shared" si="4"/>
        <v>0</v>
      </c>
      <c r="G70" s="258"/>
      <c r="H70" s="1990"/>
      <c r="I70" s="1978"/>
    </row>
    <row r="71" spans="1:9" ht="30" customHeight="1" thickBot="1" x14ac:dyDescent="0.25">
      <c r="A71" s="2100" t="str">
        <f>F!A199</f>
        <v>F37</v>
      </c>
      <c r="B71" s="2081" t="str">
        <f>F!B199</f>
        <v>Interspersion of Robust Emergents &amp; Open Water</v>
      </c>
      <c r="C71" s="1453" t="str">
        <f>F!C199</f>
        <v>During most of the part of the growing season when water is present, the spatial pattern of robust herbaceous vegetation (e.g., cattail, tall bulrush, buckbean) is mostly:</v>
      </c>
      <c r="D71" s="238"/>
      <c r="E71" s="239"/>
      <c r="F71" s="239"/>
      <c r="G71" s="219">
        <f>IF((AllSat1&gt;0),"",IF((NoPonded=1),"", IF((NoOpenPonded+ NoOpenPonded1&gt;0),"", IF((AllOpenPond=1),"", IF((SmallAA=1),"", MAX(F72:F74)/MAX(E72:E74))))))</f>
        <v>0</v>
      </c>
      <c r="H71" s="1989" t="s">
        <v>476</v>
      </c>
      <c r="I71" s="1911" t="s">
        <v>1150</v>
      </c>
    </row>
    <row r="72" spans="1:9" ht="27" customHeight="1" x14ac:dyDescent="0.2">
      <c r="A72" s="2100"/>
      <c r="B72" s="2081"/>
      <c r="C72" s="1454" t="str">
        <f>F!C200</f>
        <v>Scattered.  More than 30% of such vegetation forms small islands or corridors surrounded by water.</v>
      </c>
      <c r="D72" s="1455">
        <f>F!D200</f>
        <v>0</v>
      </c>
      <c r="E72" s="241">
        <v>2</v>
      </c>
      <c r="F72" s="242">
        <f>D72*E72</f>
        <v>0</v>
      </c>
      <c r="G72" s="257"/>
      <c r="H72" s="1989"/>
      <c r="I72" s="1911"/>
    </row>
    <row r="73" spans="1:9" ht="15" customHeight="1" x14ac:dyDescent="0.2">
      <c r="A73" s="2100"/>
      <c r="B73" s="2081"/>
      <c r="C73" s="1454" t="str">
        <f>F!C201</f>
        <v>Intermediate.</v>
      </c>
      <c r="D73" s="1455">
        <f>F!D201</f>
        <v>0</v>
      </c>
      <c r="E73" s="241">
        <v>1</v>
      </c>
      <c r="F73" s="242">
        <f>D73*E73</f>
        <v>0</v>
      </c>
      <c r="G73" s="257"/>
      <c r="H73" s="1989"/>
      <c r="I73" s="1911"/>
    </row>
    <row r="74" spans="1:9" ht="27" customHeight="1" thickBot="1" x14ac:dyDescent="0.25">
      <c r="A74" s="2100"/>
      <c r="B74" s="2081"/>
      <c r="C74" s="1454" t="str">
        <f>F!C202</f>
        <v>Clumped. More than 70% of such vegetation is in bands along the wetland perimeter or is clumped at one or a few sides of the surface water area.</v>
      </c>
      <c r="D74" s="1455">
        <f>F!D202</f>
        <v>0</v>
      </c>
      <c r="E74" s="242">
        <v>0</v>
      </c>
      <c r="F74" s="242">
        <f>D74*E74</f>
        <v>0</v>
      </c>
      <c r="G74" s="433"/>
      <c r="H74" s="1989"/>
      <c r="I74" s="1911"/>
    </row>
    <row r="75" spans="1:9" ht="96.75" customHeight="1" thickBot="1" x14ac:dyDescent="0.25">
      <c r="A75" s="541" t="str">
        <f>F!A209</f>
        <v>F41</v>
      </c>
      <c r="B75" s="77" t="str">
        <f>F!B209</f>
        <v>Floating Algae &amp; Duckweed</v>
      </c>
      <c r="C75" s="311" t="str">
        <f>F!C209</f>
        <v>At some time of the year, mats of algae and/or duckweed cover &gt;50% of the AA's otherwise-unshaded water surface, or blanket &gt;50% of the underwater substrate.  If true, enter "1" in next column.  If untrue or unlikely, enter "0".</v>
      </c>
      <c r="D75" s="1456">
        <f>F!D209</f>
        <v>0</v>
      </c>
      <c r="E75" s="269"/>
      <c r="F75" s="270"/>
      <c r="G75" s="225" t="str">
        <f>IF((AllSat1&gt;0),"", IF((NoPonded=1),"", IF((SmallAA=1),"", IF((D75=1),0,""))))</f>
        <v/>
      </c>
      <c r="H75" s="77" t="s">
        <v>477</v>
      </c>
      <c r="I75" s="769" t="s">
        <v>1151</v>
      </c>
    </row>
    <row r="76" spans="1:9" ht="21" customHeight="1" thickBot="1" x14ac:dyDescent="0.25">
      <c r="A76" s="2036" t="str">
        <f>F!A216</f>
        <v>F44</v>
      </c>
      <c r="B76" s="1992" t="str">
        <f>F!B216</f>
        <v>TDS and/or Conductivity</v>
      </c>
      <c r="C76" s="1457" t="str">
        <f>F!C216</f>
        <v>The Total Dissolved Solids (TDS) and/or Conductivity in most of the AA's surface water:</v>
      </c>
      <c r="D76" s="777"/>
      <c r="E76" s="376"/>
      <c r="F76" s="376"/>
      <c r="G76" s="358">
        <f xml:space="preserve"> IF((D77=1),"",IF((D78=1),1,MAX(D80,D81)))</f>
        <v>0</v>
      </c>
      <c r="H76" s="2000" t="s">
        <v>644</v>
      </c>
      <c r="I76" s="1867" t="s">
        <v>1984</v>
      </c>
    </row>
    <row r="77" spans="1:9" ht="27" customHeight="1" x14ac:dyDescent="0.2">
      <c r="A77" s="2035"/>
      <c r="B77" s="1991"/>
      <c r="C77" s="1458" t="str">
        <f>F!C217</f>
        <v>was not measured because no surface water could be found during this visit. Enter "1" in column to the right.</v>
      </c>
      <c r="D77" s="737">
        <f>F!D217</f>
        <v>0</v>
      </c>
      <c r="E77" s="722"/>
      <c r="F77" s="722"/>
      <c r="G77" s="775"/>
      <c r="H77" s="1989"/>
      <c r="I77" s="1911"/>
    </row>
    <row r="78" spans="1:9" ht="27" customHeight="1" x14ac:dyDescent="0.2">
      <c r="A78" s="2035"/>
      <c r="B78" s="1991"/>
      <c r="C78" s="1458" t="str">
        <f>F!C218</f>
        <v>was not measured, and plants that indicate saline conditions are absent or in trace amounts. Enter "1" in column to the right.</v>
      </c>
      <c r="D78" s="737">
        <f>F!D218</f>
        <v>0</v>
      </c>
      <c r="E78" s="722"/>
      <c r="F78" s="722"/>
      <c r="G78" s="775"/>
      <c r="H78" s="1989"/>
      <c r="I78" s="1911"/>
    </row>
    <row r="79" spans="1:9" ht="27" customHeight="1" thickBot="1" x14ac:dyDescent="0.25">
      <c r="A79" s="2035"/>
      <c r="B79" s="1991"/>
      <c r="C79" s="1458" t="str">
        <f>F!C219</f>
        <v>was not measured, but plants that indicate saline conditions are present. Enter "1" in column to the right.</v>
      </c>
      <c r="D79" s="737">
        <f>F!D219</f>
        <v>0</v>
      </c>
      <c r="E79" s="722"/>
      <c r="F79" s="722"/>
      <c r="G79" s="775"/>
      <c r="H79" s="1989"/>
      <c r="I79" s="1911"/>
    </row>
    <row r="80" spans="1:9" ht="27" customHeight="1" thickBot="1" x14ac:dyDescent="0.25">
      <c r="A80" s="2035"/>
      <c r="B80" s="1991"/>
      <c r="C80" s="860" t="str">
        <f>F!C220</f>
        <v>TDS is: [enter the reading in ppm or mg/L in the column to the right if measured, or answer next row]:</v>
      </c>
      <c r="D80" s="1459">
        <f>F!D220</f>
        <v>0</v>
      </c>
      <c r="E80" s="722"/>
      <c r="F80" s="722"/>
      <c r="G80" s="225">
        <f>IF((D80/1000&gt;1),1,D80/1000)</f>
        <v>0</v>
      </c>
      <c r="H80" s="1989"/>
      <c r="I80" s="1911"/>
    </row>
    <row r="81" spans="1:9" ht="15" customHeight="1" thickBot="1" x14ac:dyDescent="0.25">
      <c r="A81" s="2035"/>
      <c r="B81" s="1991"/>
      <c r="C81" s="1460" t="str">
        <f>F!C221</f>
        <v>Conductivity is  [enter the reading in µS/cm in the column to the right]:</v>
      </c>
      <c r="D81" s="94">
        <f>F!D221</f>
        <v>0</v>
      </c>
      <c r="E81" s="380"/>
      <c r="F81" s="380"/>
      <c r="G81" s="225">
        <f>IF((D81/1000&gt;1),1,D81/1000)</f>
        <v>0</v>
      </c>
      <c r="H81" s="1989"/>
      <c r="I81" s="1911"/>
    </row>
    <row r="82" spans="1:9" ht="36" customHeight="1" thickBot="1" x14ac:dyDescent="0.25">
      <c r="A82" s="2027" t="str">
        <f>F!A227</f>
        <v>F47</v>
      </c>
      <c r="B82" s="2000" t="str">
        <f>F!B227</f>
        <v>Through Flow Pattern</v>
      </c>
      <c r="C82" s="104" t="str">
        <f>F!C227</f>
        <v>During its travel through the AA at the time of peak annual flow, water arriving in channels: [select only the ONE encountered by most of the incoming water].</v>
      </c>
      <c r="D82" s="777"/>
      <c r="E82" s="376"/>
      <c r="F82" s="262"/>
      <c r="G82" s="225" t="str">
        <f>IF((AllSat1=1),"", IF((Inflows=0),"",MAX(F83:F87)/MAX(E83:E87)))</f>
        <v/>
      </c>
      <c r="H82" s="2000" t="s">
        <v>215</v>
      </c>
      <c r="I82" s="1867" t="s">
        <v>1152</v>
      </c>
    </row>
    <row r="83" spans="1:9" ht="42" customHeight="1" x14ac:dyDescent="0.2">
      <c r="A83" s="2028"/>
      <c r="B83" s="1989"/>
      <c r="C83" s="1461" t="str">
        <f>F!C228</f>
        <v>Does not bump into plant stems as it travels through the AA.  Nearly all the water continues to travel in unvegetated (often incised) channels that have minimal contact with wetland vegetation, or through a zone of open water such as an instream pond or lake.</v>
      </c>
      <c r="D83" s="1285">
        <f>F!D228</f>
        <v>0</v>
      </c>
      <c r="E83" s="722">
        <v>0</v>
      </c>
      <c r="F83" s="722">
        <f>D83*E83</f>
        <v>0</v>
      </c>
      <c r="G83" s="202"/>
      <c r="H83" s="1989"/>
      <c r="I83" s="1911"/>
    </row>
    <row r="84" spans="1:9" ht="18" customHeight="1" x14ac:dyDescent="0.2">
      <c r="A84" s="2028"/>
      <c r="B84" s="1989"/>
      <c r="C84" s="941" t="str">
        <f>F!C229</f>
        <v>bumps into herbaceous vegetation but mostly remains in fairly straight channels.</v>
      </c>
      <c r="D84" s="737">
        <f>F!D229</f>
        <v>0</v>
      </c>
      <c r="E84" s="722">
        <v>1</v>
      </c>
      <c r="F84" s="722">
        <f>D84*E84</f>
        <v>0</v>
      </c>
      <c r="G84" s="775"/>
      <c r="H84" s="1989"/>
      <c r="I84" s="1911"/>
    </row>
    <row r="85" spans="1:9" ht="27" customHeight="1" x14ac:dyDescent="0.2">
      <c r="A85" s="2028"/>
      <c r="B85" s="1989"/>
      <c r="C85" s="996" t="str">
        <f>F!C230</f>
        <v>bumps into herbaceous vegetation and mostly spreads throughout, or is in widely  meandering, multi-branched, or braided channels.</v>
      </c>
      <c r="D85" s="1285">
        <f>F!D230</f>
        <v>0</v>
      </c>
      <c r="E85" s="722">
        <v>2</v>
      </c>
      <c r="F85" s="722">
        <f>D85*E85</f>
        <v>0</v>
      </c>
      <c r="G85" s="775"/>
      <c r="H85" s="1989"/>
      <c r="I85" s="1911"/>
    </row>
    <row r="86" spans="1:9" ht="18" customHeight="1" x14ac:dyDescent="0.2">
      <c r="A86" s="2028"/>
      <c r="B86" s="1989"/>
      <c r="C86" s="996" t="str">
        <f>F!C231</f>
        <v>bumps into tree trunks and/or shrub stems but mostly remains in fairly straight channels.</v>
      </c>
      <c r="D86" s="1285">
        <f>F!D231</f>
        <v>0</v>
      </c>
      <c r="E86" s="722">
        <v>3</v>
      </c>
      <c r="F86" s="722">
        <f>D86*E86</f>
        <v>0</v>
      </c>
      <c r="G86" s="775"/>
      <c r="H86" s="1989"/>
      <c r="I86" s="1911"/>
    </row>
    <row r="87" spans="1:9" ht="29.25" customHeight="1" thickBot="1" x14ac:dyDescent="0.25">
      <c r="A87" s="2029"/>
      <c r="B87" s="1990"/>
      <c r="C87" s="329" t="str">
        <f>F!C232</f>
        <v>bumps into tree trunks and/or shrub stems and follows a fairly indirect path from entrance to exit (meandering, multi-branched, or braided).</v>
      </c>
      <c r="D87" s="1286">
        <f>F!D232</f>
        <v>0</v>
      </c>
      <c r="E87" s="244">
        <v>4</v>
      </c>
      <c r="F87" s="244">
        <f>D87*E87</f>
        <v>0</v>
      </c>
      <c r="G87" s="258"/>
      <c r="H87" s="1990"/>
      <c r="I87" s="1978"/>
    </row>
    <row r="88" spans="1:9" ht="77.25" thickBot="1" x14ac:dyDescent="0.25">
      <c r="A88" s="2097" t="str">
        <f>F!A233</f>
        <v>F48</v>
      </c>
      <c r="B88" s="2000" t="str">
        <f>F!B233</f>
        <v>Channel Connection &amp; Outflow Duration</v>
      </c>
      <c r="C88" s="104" t="str">
        <f>F!C233</f>
        <v>The most persistent surface water connection (outlet channel or pipe, ditch, or overbank water exchange) between the AA and the closest larger water body located downslope is: [Note: If the AA represents only part of a wetland, answer this according to whichever is the least permanent surface connection: the one between the AA and the rest of the wetland, or the surface connection between the wetland and a mapped stream or lake located within 200 m downslope from the wetland ]</v>
      </c>
      <c r="D88" s="372"/>
      <c r="E88" s="376"/>
      <c r="F88" s="262"/>
      <c r="G88" s="225">
        <f>IF((AllSat1&gt;0),"",(MAX(F89:F93))/MAX(E89:E93))</f>
        <v>0</v>
      </c>
      <c r="H88" s="2000" t="s">
        <v>213</v>
      </c>
      <c r="I88" s="1867" t="s">
        <v>1153</v>
      </c>
    </row>
    <row r="89" spans="1:9" ht="15" customHeight="1" x14ac:dyDescent="0.2">
      <c r="A89" s="2098"/>
      <c r="B89" s="1989"/>
      <c r="C89" s="407" t="str">
        <f>F!C234</f>
        <v>persistent (&gt;9 months/year, including times when frozen).</v>
      </c>
      <c r="D89" s="359">
        <f>F!D234</f>
        <v>0</v>
      </c>
      <c r="E89" s="377">
        <v>1</v>
      </c>
      <c r="F89" s="377">
        <f>D89*E89</f>
        <v>0</v>
      </c>
      <c r="G89" s="202"/>
      <c r="H89" s="1989"/>
      <c r="I89" s="1911"/>
    </row>
    <row r="90" spans="1:9" ht="25.5" x14ac:dyDescent="0.2">
      <c r="A90" s="2098"/>
      <c r="B90" s="1989"/>
      <c r="C90" s="328" t="str">
        <f>F!C235</f>
        <v>seasonal (14 days to 9 months/year, not necessarily consecutive, including times when frozen).</v>
      </c>
      <c r="D90" s="359">
        <f>F!D235</f>
        <v>0</v>
      </c>
      <c r="E90" s="377">
        <v>2</v>
      </c>
      <c r="F90" s="377">
        <f>D90*E90</f>
        <v>0</v>
      </c>
      <c r="G90" s="257"/>
      <c r="H90" s="1989"/>
      <c r="I90" s="1911"/>
    </row>
    <row r="91" spans="1:9" ht="15" customHeight="1" x14ac:dyDescent="0.2">
      <c r="A91" s="2098"/>
      <c r="B91" s="1989"/>
      <c r="C91" s="328" t="str">
        <f>F!C236</f>
        <v>temporary (&lt;14 days, not necessarily consecutive, but must be unfrozen).</v>
      </c>
      <c r="D91" s="356">
        <f>F!D236</f>
        <v>0</v>
      </c>
      <c r="E91" s="377">
        <v>3</v>
      </c>
      <c r="F91" s="377">
        <f>D91*E91</f>
        <v>0</v>
      </c>
      <c r="G91" s="257"/>
      <c r="H91" s="1989"/>
      <c r="I91" s="1911"/>
    </row>
    <row r="92" spans="1:9" ht="38.25" x14ac:dyDescent="0.2">
      <c r="A92" s="2098"/>
      <c r="B92" s="1989"/>
      <c r="C92" s="328" t="str">
        <f>F!C237</f>
        <v xml:space="preserve">none -- but maps show a stream or other water body that is downslope from the AA and within a distance that is less than the AA's length.  If so, mark "1" here and SKIP TO F50 (Groundwater). </v>
      </c>
      <c r="D92" s="359">
        <f>F!D237</f>
        <v>0</v>
      </c>
      <c r="E92" s="381">
        <v>6</v>
      </c>
      <c r="F92" s="377">
        <f>D92*E92</f>
        <v>0</v>
      </c>
      <c r="G92" s="433"/>
      <c r="H92" s="1989"/>
      <c r="I92" s="1911"/>
    </row>
    <row r="93" spans="1:9" ht="42" customHeight="1" thickBot="1" x14ac:dyDescent="0.25">
      <c r="A93" s="2099"/>
      <c r="B93" s="1990"/>
      <c r="C93" s="329" t="str">
        <f>F!C238</f>
        <v xml:space="preserve">no surface water flows out of the wetland except possibly during extreme events (&lt;once per 10 years). Or, water flows only into a wetland, ditch, or lake that lacks an outlet.  If so, mark "1" here and SKIP TO F50 (Groundwater). </v>
      </c>
      <c r="D93" s="81">
        <f>F!D238</f>
        <v>0</v>
      </c>
      <c r="E93" s="272">
        <v>6</v>
      </c>
      <c r="F93" s="244">
        <f>D93*E93</f>
        <v>0</v>
      </c>
      <c r="G93" s="258"/>
      <c r="H93" s="1990"/>
      <c r="I93" s="1978"/>
    </row>
    <row r="94" spans="1:9" ht="30" customHeight="1" thickBot="1" x14ac:dyDescent="0.25">
      <c r="A94" s="2035" t="str">
        <f>F!A239</f>
        <v>F49</v>
      </c>
      <c r="B94" s="1989" t="str">
        <f>F!B239</f>
        <v>Outflow Confinement</v>
      </c>
      <c r="C94" s="1391" t="str">
        <f>F!C239</f>
        <v>During major runoff events, in the places where surface water exits the AA or connected waters nearby, it:</v>
      </c>
      <c r="D94" s="437"/>
      <c r="E94" s="239"/>
      <c r="F94" s="259"/>
      <c r="G94" s="219">
        <f>IF((OutNone + OutNone1&gt;0),"",(MAX(F95:F97)/MAX(E95:E97)))</f>
        <v>0</v>
      </c>
      <c r="H94" s="1989" t="s">
        <v>214</v>
      </c>
      <c r="I94" s="1911" t="s">
        <v>1154</v>
      </c>
    </row>
    <row r="95" spans="1:9" ht="42" customHeight="1" x14ac:dyDescent="0.2">
      <c r="A95" s="2035"/>
      <c r="B95" s="1989"/>
      <c r="C95" s="407" t="str">
        <f>F!C240</f>
        <v>mostly passes through a pipe, culvert, narrowly breached dike, berm, beaver dam, or other partial obstruction (other than natural topography) that does not appear to drain the wetland artificially during most of the growing season.</v>
      </c>
      <c r="D95" s="443">
        <f>F!D240</f>
        <v>0</v>
      </c>
      <c r="E95" s="241">
        <v>1</v>
      </c>
      <c r="F95" s="241">
        <f>D95*E95</f>
        <v>0</v>
      </c>
      <c r="G95" s="202"/>
      <c r="H95" s="1989"/>
      <c r="I95" s="1911"/>
    </row>
    <row r="96" spans="1:9" ht="27" customHeight="1" x14ac:dyDescent="0.2">
      <c r="A96" s="2035"/>
      <c r="B96" s="1989"/>
      <c r="C96" s="328" t="str">
        <f>F!C241</f>
        <v>leaves through natural exits (channels or diffuse outflow), not mainly through artificial or temporary features.</v>
      </c>
      <c r="D96" s="40">
        <f>F!D241</f>
        <v>0</v>
      </c>
      <c r="E96" s="241">
        <v>0</v>
      </c>
      <c r="F96" s="241">
        <f>D96*E96</f>
        <v>0</v>
      </c>
      <c r="G96" s="267"/>
      <c r="H96" s="1989"/>
      <c r="I96" s="1911"/>
    </row>
    <row r="97" spans="1:11" ht="39" thickBot="1" x14ac:dyDescent="0.25">
      <c r="A97" s="2035"/>
      <c r="B97" s="1989"/>
      <c r="C97" s="366" t="str">
        <f>F!C242</f>
        <v>is exported more quickly than usual due to ditches or pipes within the AA (or connected to its outlet or within 10 m of the AA's edge) which drain the wetland artificially, or water is pumped out of the AA.</v>
      </c>
      <c r="D97" s="356">
        <f>F!D242</f>
        <v>0</v>
      </c>
      <c r="E97" s="380">
        <v>0</v>
      </c>
      <c r="F97" s="380">
        <f>D97*E97</f>
        <v>0</v>
      </c>
      <c r="G97" s="433"/>
      <c r="H97" s="1989"/>
      <c r="I97" s="1911"/>
    </row>
    <row r="98" spans="1:11" ht="21" customHeight="1" thickBot="1" x14ac:dyDescent="0.25">
      <c r="A98" s="2109" t="str">
        <f>F!A247</f>
        <v>F51</v>
      </c>
      <c r="B98" s="2112" t="str">
        <f>F!B247</f>
        <v>Internal Gradient</v>
      </c>
      <c r="C98" s="104" t="str">
        <f>F!C247</f>
        <v>The gradient along most of the flow path within the AA is:</v>
      </c>
      <c r="D98" s="372"/>
      <c r="E98" s="376"/>
      <c r="F98" s="262"/>
      <c r="G98" s="225">
        <f>MAX(F99:F102)/MAX(E99:E102)</f>
        <v>0</v>
      </c>
      <c r="H98" s="2000" t="s">
        <v>219</v>
      </c>
      <c r="I98" s="1867" t="s">
        <v>274</v>
      </c>
    </row>
    <row r="99" spans="1:11" ht="27" customHeight="1" x14ac:dyDescent="0.2">
      <c r="A99" s="2110"/>
      <c r="B99" s="2113"/>
      <c r="C99" s="407" t="str">
        <f>F!C248</f>
        <v>&lt;2%, or, no slope is ever apparent (i.e., flat). Or, the wetland is in a depression or pond with no inlet and no outlet.</v>
      </c>
      <c r="D99" s="443">
        <f>F!D248</f>
        <v>0</v>
      </c>
      <c r="E99" s="377">
        <v>4</v>
      </c>
      <c r="F99" s="377">
        <f>D99*E99</f>
        <v>0</v>
      </c>
      <c r="G99" s="202"/>
      <c r="H99" s="1989"/>
      <c r="I99" s="1989"/>
    </row>
    <row r="100" spans="1:11" ht="15" customHeight="1" x14ac:dyDescent="0.2">
      <c r="A100" s="2110"/>
      <c r="B100" s="2113"/>
      <c r="C100" s="328" t="str">
        <f>F!C249</f>
        <v>2-5%</v>
      </c>
      <c r="D100" s="359">
        <f>F!D249</f>
        <v>0</v>
      </c>
      <c r="E100" s="377">
        <v>3</v>
      </c>
      <c r="F100" s="377">
        <f>D100*E100</f>
        <v>0</v>
      </c>
      <c r="G100" s="202"/>
      <c r="H100" s="1989"/>
      <c r="I100" s="1989"/>
    </row>
    <row r="101" spans="1:11" ht="15" customHeight="1" x14ac:dyDescent="0.2">
      <c r="A101" s="2110"/>
      <c r="B101" s="2113"/>
      <c r="C101" s="328" t="str">
        <f>F!C250</f>
        <v>6-10%</v>
      </c>
      <c r="D101" s="359">
        <f>F!D250</f>
        <v>0</v>
      </c>
      <c r="E101" s="377">
        <v>2</v>
      </c>
      <c r="F101" s="377">
        <f>D101*E101</f>
        <v>0</v>
      </c>
      <c r="G101" s="257"/>
      <c r="H101" s="1989"/>
      <c r="I101" s="1989"/>
    </row>
    <row r="102" spans="1:11" ht="15" customHeight="1" thickBot="1" x14ac:dyDescent="0.25">
      <c r="A102" s="2111"/>
      <c r="B102" s="2114"/>
      <c r="C102" s="780" t="str">
        <f>F!C251</f>
        <v>&gt;10%</v>
      </c>
      <c r="D102" s="356">
        <f>F!D251</f>
        <v>0</v>
      </c>
      <c r="E102" s="380">
        <v>0</v>
      </c>
      <c r="F102" s="380">
        <f>D102*E102</f>
        <v>0</v>
      </c>
      <c r="G102" s="721"/>
      <c r="H102" s="1989"/>
      <c r="I102" s="1989"/>
    </row>
    <row r="103" spans="1:11" ht="90" thickBot="1" x14ac:dyDescent="0.25">
      <c r="A103" s="2036" t="str">
        <f>F!A331</f>
        <v>F69</v>
      </c>
      <c r="B103" s="2000" t="str">
        <f>F!B331</f>
        <v>Wetland as a % of Its Contributing Area (Catchment)</v>
      </c>
      <c r="C103" s="1303" t="str">
        <f>F!C331</f>
        <v>Estimate the approximate boundaries of the wetland's catchment (CA) from a topographic map.Then adjust those boundaries if necessary based on your field observations of the surrounding terrain, and/or by using procedures described in the ABWRET Manual.  Divide the area of the wetland (not just the AA) by the approximate area of its catchment , excluding the area of the wetland itself.  When doing the calculation, if ponded water adjoins the wetland, include that in the wetland's area.  The result is:</v>
      </c>
      <c r="D103" s="777"/>
      <c r="E103" s="376"/>
      <c r="F103" s="376"/>
      <c r="G103" s="784">
        <f>MAX(F104:F107)/MAX(E104:E107)</f>
        <v>0</v>
      </c>
      <c r="H103" s="2106" t="s">
        <v>2257</v>
      </c>
      <c r="I103" s="2086" t="s">
        <v>2290</v>
      </c>
    </row>
    <row r="104" spans="1:11" ht="25.5" x14ac:dyDescent="0.2">
      <c r="A104" s="2035"/>
      <c r="B104" s="1989"/>
      <c r="C104" s="995" t="str">
        <f>F!C332</f>
        <v>&lt;1%, or catchment size unknown due to stormwater pipes that collect water from an indeterminate area.</v>
      </c>
      <c r="D104" s="737">
        <f>F!D332</f>
        <v>0</v>
      </c>
      <c r="E104" s="722">
        <v>1</v>
      </c>
      <c r="F104" s="377">
        <f t="shared" ref="F104:F107" si="5">D104*E104</f>
        <v>0</v>
      </c>
      <c r="G104" s="723"/>
      <c r="H104" s="2107"/>
      <c r="I104" s="2087"/>
    </row>
    <row r="105" spans="1:11" ht="15" customHeight="1" x14ac:dyDescent="0.2">
      <c r="A105" s="2035"/>
      <c r="B105" s="1989"/>
      <c r="C105" s="996" t="str">
        <f>F!C333</f>
        <v>1-10%</v>
      </c>
      <c r="D105" s="737">
        <f>F!D333</f>
        <v>0</v>
      </c>
      <c r="E105" s="722">
        <v>2</v>
      </c>
      <c r="F105" s="377">
        <f t="shared" si="5"/>
        <v>0</v>
      </c>
      <c r="G105" s="723"/>
      <c r="H105" s="2107"/>
      <c r="I105" s="2087"/>
    </row>
    <row r="106" spans="1:11" ht="15" customHeight="1" x14ac:dyDescent="0.2">
      <c r="A106" s="2035"/>
      <c r="B106" s="1989"/>
      <c r="C106" s="996" t="str">
        <f>F!C334</f>
        <v>10-100%</v>
      </c>
      <c r="D106" s="737">
        <f>F!D334</f>
        <v>0</v>
      </c>
      <c r="E106" s="722">
        <v>3</v>
      </c>
      <c r="F106" s="377">
        <f t="shared" si="5"/>
        <v>0</v>
      </c>
      <c r="G106" s="723"/>
      <c r="H106" s="2107"/>
      <c r="I106" s="2087"/>
    </row>
    <row r="107" spans="1:11" ht="26.25" thickBot="1" x14ac:dyDescent="0.25">
      <c r="A107" s="2037"/>
      <c r="B107" s="1990"/>
      <c r="C107" s="329" t="str">
        <f>F!C335</f>
        <v xml:space="preserve">&gt;100% (wetland is larger than its catchment (e.g., wetland is isolated by dikes with no input channels, is fed entirely by groundwater, or is a raised bog). </v>
      </c>
      <c r="D107" s="81">
        <f>F!D335</f>
        <v>0</v>
      </c>
      <c r="E107" s="244">
        <v>4</v>
      </c>
      <c r="F107" s="377">
        <f t="shared" si="5"/>
        <v>0</v>
      </c>
      <c r="G107" s="728"/>
      <c r="H107" s="2108"/>
      <c r="I107" s="2088"/>
    </row>
    <row r="108" spans="1:11" ht="45" customHeight="1" thickBot="1" x14ac:dyDescent="0.25">
      <c r="A108" s="1385" t="str">
        <f>S!A71</f>
        <v>S5</v>
      </c>
      <c r="B108" s="1398" t="str">
        <f>S!B71</f>
        <v>Soil or Sediment Alteration Within the Assessment Area</v>
      </c>
      <c r="C108" s="1462"/>
      <c r="D108" s="895">
        <f>S!F88</f>
        <v>0</v>
      </c>
      <c r="E108" s="276"/>
      <c r="F108" s="276"/>
      <c r="G108" s="219">
        <f>1-D108</f>
        <v>1</v>
      </c>
      <c r="H108" s="1380" t="s">
        <v>718</v>
      </c>
      <c r="I108" s="1376" t="s">
        <v>1084</v>
      </c>
    </row>
    <row r="109" spans="1:11" ht="21" customHeight="1" thickBot="1" x14ac:dyDescent="0.25">
      <c r="A109" s="827"/>
      <c r="B109" s="827"/>
      <c r="D109" s="609"/>
      <c r="E109" s="609"/>
      <c r="F109" s="609"/>
      <c r="G109" s="609"/>
      <c r="H109" s="827"/>
      <c r="I109" s="827"/>
    </row>
    <row r="110" spans="1:11" ht="21" customHeight="1" thickBot="1" x14ac:dyDescent="0.25">
      <c r="B110" s="940"/>
      <c r="C110" s="391" t="s">
        <v>719</v>
      </c>
      <c r="D110" s="610"/>
      <c r="E110" s="610"/>
      <c r="F110" s="610"/>
      <c r="G110" s="610"/>
      <c r="H110" s="5"/>
      <c r="I110" s="5"/>
      <c r="J110" s="574"/>
    </row>
    <row r="111" spans="1:11" ht="29.25" customHeight="1" thickBot="1" x14ac:dyDescent="0.25">
      <c r="A111" s="940"/>
      <c r="B111" s="1390"/>
      <c r="C111" s="1072" t="s">
        <v>2432</v>
      </c>
      <c r="D111" s="1264"/>
      <c r="E111" s="1264"/>
      <c r="F111" s="1264"/>
      <c r="G111" s="1025">
        <f>(AVERAGE(SoilTex3, Salin3) + AVERAGE(Wettype3,SatPct3, Algae3, Fluctu3, DomDepth3)) / 2</f>
        <v>0</v>
      </c>
      <c r="H111" s="5"/>
      <c r="I111" s="5"/>
      <c r="J111" s="140"/>
      <c r="K111" s="110"/>
    </row>
    <row r="112" spans="1:11" ht="21" customHeight="1" thickBot="1" x14ac:dyDescent="0.25">
      <c r="B112" s="940"/>
      <c r="D112" s="940"/>
      <c r="E112" s="940"/>
      <c r="F112" s="940"/>
      <c r="G112" s="940"/>
      <c r="H112" s="5"/>
      <c r="I112" s="5"/>
      <c r="J112" s="441"/>
    </row>
    <row r="113" spans="1:10" ht="21" customHeight="1" thickBot="1" x14ac:dyDescent="0.25">
      <c r="B113" s="940"/>
      <c r="C113" s="391" t="s">
        <v>720</v>
      </c>
      <c r="D113" s="940"/>
      <c r="E113" s="940"/>
      <c r="F113" s="940"/>
      <c r="G113" s="940"/>
      <c r="H113" s="5"/>
      <c r="I113" s="5"/>
      <c r="J113" s="441"/>
    </row>
    <row r="114" spans="1:10" ht="45" customHeight="1" thickBot="1" x14ac:dyDescent="0.25">
      <c r="B114" s="940"/>
      <c r="C114" s="1247" t="s">
        <v>2388</v>
      </c>
      <c r="D114" s="1264"/>
      <c r="E114" s="1264"/>
      <c r="F114" s="1264"/>
      <c r="G114" s="1248">
        <f>(AVERAGE(OpenWpct3, Interspers3, WetVegArea) + AVERAGE(1-Sub0Days, Persis3, Lake3, VegWabs3, ThruFlo3, Constric3, Gradient3, Gcover3, Girreg3, SoilAlt3) + WetPctCA3) / 3</f>
        <v>8.3333333333333329E-2</v>
      </c>
      <c r="H114" s="5"/>
      <c r="I114" s="5"/>
      <c r="J114" s="441"/>
    </row>
    <row r="115" spans="1:10" ht="21" customHeight="1" thickBot="1" x14ac:dyDescent="0.25">
      <c r="B115" s="940"/>
      <c r="D115" s="940"/>
      <c r="E115" s="940"/>
      <c r="F115" s="940"/>
      <c r="G115" s="940"/>
      <c r="H115" s="5"/>
      <c r="I115" s="5"/>
      <c r="J115" s="441"/>
    </row>
    <row r="116" spans="1:10" ht="21" customHeight="1" thickBot="1" x14ac:dyDescent="0.25">
      <c r="B116" s="5"/>
      <c r="C116" s="391" t="s">
        <v>715</v>
      </c>
      <c r="D116" s="1027"/>
      <c r="E116" s="1027"/>
      <c r="F116" s="1027"/>
      <c r="G116" s="1027"/>
      <c r="H116" s="5"/>
      <c r="I116" s="5"/>
      <c r="J116" s="441"/>
    </row>
    <row r="117" spans="1:10" ht="21" customHeight="1" thickBot="1" x14ac:dyDescent="0.25">
      <c r="B117" s="5"/>
      <c r="C117" s="83" t="s">
        <v>213</v>
      </c>
      <c r="D117" s="507"/>
      <c r="E117" s="507"/>
      <c r="F117" s="507"/>
      <c r="G117" s="285">
        <f>OutDura3</f>
        <v>0</v>
      </c>
      <c r="H117" s="5"/>
      <c r="I117" s="5"/>
      <c r="J117" s="441"/>
    </row>
    <row r="118" spans="1:10" ht="21" customHeight="1" thickBot="1" x14ac:dyDescent="0.25">
      <c r="B118" s="5"/>
      <c r="D118" s="827"/>
      <c r="E118" s="827"/>
      <c r="F118" s="827"/>
      <c r="G118" s="827"/>
      <c r="H118" s="5"/>
      <c r="I118" s="5"/>
      <c r="J118" s="441"/>
    </row>
    <row r="119" spans="1:10" ht="21" customHeight="1" thickBot="1" x14ac:dyDescent="0.25">
      <c r="B119" s="5"/>
      <c r="C119" s="640" t="s">
        <v>846</v>
      </c>
      <c r="D119" s="5"/>
      <c r="E119" s="5"/>
      <c r="F119" s="5"/>
      <c r="G119" s="5"/>
      <c r="H119" s="5"/>
      <c r="I119" s="5"/>
      <c r="J119" s="441"/>
    </row>
    <row r="120" spans="1:10" ht="21" customHeight="1" thickBot="1" x14ac:dyDescent="0.25">
      <c r="B120" s="5"/>
      <c r="C120" s="409" t="s">
        <v>509</v>
      </c>
      <c r="D120" s="1027"/>
      <c r="E120" s="1027"/>
      <c r="F120" s="1027"/>
      <c r="G120" s="1027"/>
      <c r="H120" s="5"/>
      <c r="I120" s="5"/>
      <c r="J120" s="441"/>
    </row>
    <row r="121" spans="1:10" ht="21" customHeight="1" thickBot="1" x14ac:dyDescent="0.25">
      <c r="B121" s="5"/>
      <c r="C121" s="83" t="s">
        <v>2433</v>
      </c>
      <c r="D121" s="507"/>
      <c r="E121" s="507"/>
      <c r="F121" s="507"/>
      <c r="G121" s="582">
        <f>IF((OutNone + OutNone1&gt;0),10, 10*AVERAGE(ADSORB1A, SEDTRAP1A, OutDura3))</f>
        <v>0.27777777777777779</v>
      </c>
      <c r="H121" s="5"/>
      <c r="I121" s="1027"/>
      <c r="J121" s="441"/>
    </row>
    <row r="122" spans="1:10" s="6" customFormat="1" ht="21" customHeight="1" thickBot="1" x14ac:dyDescent="0.25">
      <c r="A122" s="5"/>
      <c r="B122" s="5"/>
      <c r="C122" s="110"/>
      <c r="D122" s="1262"/>
      <c r="E122" s="1262"/>
      <c r="F122" s="1262"/>
      <c r="G122" s="1262"/>
      <c r="H122" s="1549"/>
      <c r="I122" s="825" t="s">
        <v>293</v>
      </c>
      <c r="J122" s="441"/>
    </row>
    <row r="123" spans="1:10" s="110" customFormat="1" ht="42" customHeight="1" x14ac:dyDescent="0.2">
      <c r="A123" s="1463"/>
      <c r="B123" s="1463"/>
      <c r="C123" s="1464"/>
      <c r="D123" s="1465"/>
      <c r="E123" s="1262"/>
      <c r="F123" s="1262"/>
      <c r="G123" s="1262"/>
      <c r="H123" s="1549"/>
      <c r="I123" s="826" t="s">
        <v>310</v>
      </c>
      <c r="J123" s="441"/>
    </row>
    <row r="124" spans="1:10" ht="38.25" x14ac:dyDescent="0.2">
      <c r="A124" s="1463"/>
      <c r="B124" s="1466"/>
      <c r="C124" s="1467"/>
      <c r="D124" s="1468"/>
      <c r="E124" s="597"/>
      <c r="F124" s="597"/>
      <c r="G124" s="597"/>
      <c r="H124" s="598"/>
      <c r="I124" s="823" t="s">
        <v>311</v>
      </c>
      <c r="J124" s="141"/>
    </row>
    <row r="125" spans="1:10" ht="39.75" customHeight="1" x14ac:dyDescent="0.2">
      <c r="A125" s="1463"/>
      <c r="B125" s="1466"/>
      <c r="C125" s="1467"/>
      <c r="D125" s="1469"/>
      <c r="E125" s="597"/>
      <c r="F125" s="597"/>
      <c r="G125" s="597"/>
      <c r="H125" s="598"/>
      <c r="I125" s="823" t="s">
        <v>303</v>
      </c>
      <c r="J125" s="141"/>
    </row>
    <row r="126" spans="1:10" ht="42" customHeight="1" x14ac:dyDescent="0.2">
      <c r="A126" s="1463"/>
      <c r="B126" s="1466"/>
      <c r="C126" s="1467"/>
      <c r="D126" s="1469"/>
      <c r="E126" s="597"/>
      <c r="F126" s="597"/>
      <c r="G126" s="597"/>
      <c r="H126" s="598"/>
      <c r="I126" s="823" t="s">
        <v>318</v>
      </c>
      <c r="J126" s="141"/>
    </row>
    <row r="127" spans="1:10" ht="42" customHeight="1" x14ac:dyDescent="0.2">
      <c r="A127" s="1463"/>
      <c r="B127" s="1466"/>
      <c r="C127" s="1467"/>
      <c r="D127" s="1469"/>
      <c r="E127" s="597"/>
      <c r="F127" s="597"/>
      <c r="G127" s="597"/>
      <c r="H127" s="598"/>
      <c r="I127" s="823" t="s">
        <v>312</v>
      </c>
      <c r="J127" s="141"/>
    </row>
    <row r="128" spans="1:10" ht="42" customHeight="1" x14ac:dyDescent="0.2">
      <c r="A128" s="1463"/>
      <c r="B128" s="1467"/>
      <c r="C128" s="1467"/>
      <c r="D128" s="1469"/>
      <c r="E128" s="597"/>
      <c r="F128" s="597"/>
      <c r="G128" s="597"/>
      <c r="H128" s="598"/>
      <c r="I128" s="823" t="s">
        <v>313</v>
      </c>
      <c r="J128" s="141"/>
    </row>
    <row r="129" spans="1:10" s="110" customFormat="1" ht="42" customHeight="1" x14ac:dyDescent="0.2">
      <c r="A129" s="1463"/>
      <c r="B129" s="1470"/>
      <c r="C129" s="1471"/>
      <c r="D129" s="1469"/>
      <c r="E129" s="597"/>
      <c r="F129" s="597"/>
      <c r="G129" s="597"/>
      <c r="H129" s="598"/>
      <c r="I129" s="823" t="s">
        <v>314</v>
      </c>
      <c r="J129" s="141"/>
    </row>
    <row r="130" spans="1:10" s="110" customFormat="1" ht="42" customHeight="1" x14ac:dyDescent="0.2">
      <c r="A130" s="1463"/>
      <c r="B130" s="1470"/>
      <c r="C130" s="588"/>
      <c r="D130" s="1469"/>
      <c r="E130" s="597"/>
      <c r="F130" s="597"/>
      <c r="G130" s="597"/>
      <c r="H130" s="598"/>
      <c r="I130" s="823" t="s">
        <v>306</v>
      </c>
      <c r="J130" s="141"/>
    </row>
    <row r="131" spans="1:10" s="110" customFormat="1" ht="69" customHeight="1" x14ac:dyDescent="0.2">
      <c r="A131" s="1463"/>
      <c r="B131" s="1466"/>
      <c r="C131" s="1467"/>
      <c r="D131" s="1468"/>
      <c r="E131" s="597"/>
      <c r="F131" s="597"/>
      <c r="G131" s="597"/>
      <c r="H131" s="598"/>
      <c r="I131" s="823" t="s">
        <v>1806</v>
      </c>
      <c r="J131" s="141"/>
    </row>
    <row r="132" spans="1:10" s="110" customFormat="1" ht="51" x14ac:dyDescent="0.2">
      <c r="A132" s="1463"/>
      <c r="B132" s="1466"/>
      <c r="C132" s="1467"/>
      <c r="D132" s="1469"/>
      <c r="E132" s="597"/>
      <c r="F132" s="597"/>
      <c r="G132" s="597"/>
      <c r="H132" s="598"/>
      <c r="I132" s="823" t="s">
        <v>315</v>
      </c>
      <c r="J132" s="141"/>
    </row>
    <row r="133" spans="1:10" s="110" customFormat="1" ht="29.25" customHeight="1" x14ac:dyDescent="0.2">
      <c r="A133" s="1463"/>
      <c r="B133" s="1466"/>
      <c r="C133" s="1467"/>
      <c r="D133" s="1469"/>
      <c r="E133" s="597"/>
      <c r="F133" s="597"/>
      <c r="G133" s="597"/>
      <c r="H133" s="598"/>
      <c r="I133" s="823" t="s">
        <v>1807</v>
      </c>
      <c r="J133" s="141"/>
    </row>
    <row r="134" spans="1:10" s="110" customFormat="1" ht="51" x14ac:dyDescent="0.2">
      <c r="A134" s="1463"/>
      <c r="B134" s="1466"/>
      <c r="C134" s="1467"/>
      <c r="D134" s="1469"/>
      <c r="E134" s="597"/>
      <c r="F134" s="597"/>
      <c r="G134" s="597"/>
      <c r="H134" s="598"/>
      <c r="I134" s="823" t="s">
        <v>316</v>
      </c>
      <c r="J134" s="141"/>
    </row>
    <row r="135" spans="1:10" s="110" customFormat="1" ht="42.75" customHeight="1" x14ac:dyDescent="0.2">
      <c r="A135" s="1463"/>
      <c r="B135" s="1467"/>
      <c r="C135" s="1467"/>
      <c r="D135" s="1469"/>
      <c r="E135" s="597"/>
      <c r="F135" s="597"/>
      <c r="G135" s="597"/>
      <c r="H135" s="598"/>
      <c r="I135" s="823" t="s">
        <v>317</v>
      </c>
      <c r="J135" s="141"/>
    </row>
    <row r="136" spans="1:10" s="110" customFormat="1" ht="42" customHeight="1" thickBot="1" x14ac:dyDescent="0.25">
      <c r="H136" s="1389"/>
      <c r="I136" s="571" t="s">
        <v>309</v>
      </c>
      <c r="J136" s="141"/>
    </row>
  </sheetData>
  <sheetProtection password="C4B9" sheet="1" objects="1" scenarios="1"/>
  <sortState ref="A3:K10">
    <sortCondition ref="H3:H10"/>
  </sortState>
  <customSheetViews>
    <customSheetView guid="{B8E02330-2419-4DE6-AD01-7ACC7A5D18DD}" scale="75">
      <selection activeCell="H167" sqref="A2:H167"/>
      <pageMargins left="0.75" right="0.75" top="1" bottom="1" header="0.5" footer="0.5"/>
      <pageSetup orientation="portrait" r:id="rId1"/>
      <headerFooter alignWithMargins="0"/>
    </customSheetView>
  </customSheetViews>
  <mergeCells count="70">
    <mergeCell ref="I103:I107"/>
    <mergeCell ref="B103:B107"/>
    <mergeCell ref="A103:A107"/>
    <mergeCell ref="H103:H107"/>
    <mergeCell ref="A82:A87"/>
    <mergeCell ref="A98:A102"/>
    <mergeCell ref="B98:B102"/>
    <mergeCell ref="I94:I97"/>
    <mergeCell ref="I88:I93"/>
    <mergeCell ref="I98:I102"/>
    <mergeCell ref="A94:A97"/>
    <mergeCell ref="H88:H93"/>
    <mergeCell ref="H98:H102"/>
    <mergeCell ref="B94:B97"/>
    <mergeCell ref="H94:H97"/>
    <mergeCell ref="I45:I50"/>
    <mergeCell ref="B31:B36"/>
    <mergeCell ref="A51:A56"/>
    <mergeCell ref="I82:I87"/>
    <mergeCell ref="H82:H87"/>
    <mergeCell ref="I51:I56"/>
    <mergeCell ref="I71:I74"/>
    <mergeCell ref="H76:H81"/>
    <mergeCell ref="I76:I81"/>
    <mergeCell ref="H45:H50"/>
    <mergeCell ref="H51:H56"/>
    <mergeCell ref="I64:I70"/>
    <mergeCell ref="H64:H70"/>
    <mergeCell ref="H57:H63"/>
    <mergeCell ref="I57:I63"/>
    <mergeCell ref="I31:I36"/>
    <mergeCell ref="A8:A14"/>
    <mergeCell ref="I37:I43"/>
    <mergeCell ref="I24:I30"/>
    <mergeCell ref="H24:H30"/>
    <mergeCell ref="H8:H14"/>
    <mergeCell ref="H15:H19"/>
    <mergeCell ref="I15:I19"/>
    <mergeCell ref="I20:I23"/>
    <mergeCell ref="H31:H36"/>
    <mergeCell ref="I8:I14"/>
    <mergeCell ref="H20:H23"/>
    <mergeCell ref="H37:H43"/>
    <mergeCell ref="B76:B81"/>
    <mergeCell ref="A24:A30"/>
    <mergeCell ref="A15:A19"/>
    <mergeCell ref="A20:A23"/>
    <mergeCell ref="A76:A81"/>
    <mergeCell ref="B24:B30"/>
    <mergeCell ref="B20:B23"/>
    <mergeCell ref="B15:B19"/>
    <mergeCell ref="A64:A70"/>
    <mergeCell ref="B64:B70"/>
    <mergeCell ref="B51:B56"/>
    <mergeCell ref="H71:H74"/>
    <mergeCell ref="E1:H1"/>
    <mergeCell ref="A1:B1"/>
    <mergeCell ref="A88:A93"/>
    <mergeCell ref="B88:B93"/>
    <mergeCell ref="B82:B87"/>
    <mergeCell ref="A31:A36"/>
    <mergeCell ref="B37:B43"/>
    <mergeCell ref="B45:B50"/>
    <mergeCell ref="A37:A43"/>
    <mergeCell ref="A45:A50"/>
    <mergeCell ref="A57:A63"/>
    <mergeCell ref="B57:B63"/>
    <mergeCell ref="A71:A74"/>
    <mergeCell ref="B71:B74"/>
    <mergeCell ref="B8:B14"/>
  </mergeCells>
  <phoneticPr fontId="12" type="noConversion"/>
  <conditionalFormatting sqref="D117:D118 D121:D122 D114:D115 D111:D112 D30:D37 D17:D22 D24:D26 D88:D91 D93:D94 D96:D98 D73:D76 D15 D71 D78:D86 D39:D43 D45 D55:D57 D100:D102 D104:D109 D47:D53 D59:D69">
    <cfRule type="cellIs" dxfId="8" priority="2" operator="greaterThan">
      <formula>0</formula>
    </cfRule>
  </conditionalFormatting>
  <pageMargins left="0.75" right="0.75" top="1" bottom="1" header="0.5" footer="0.5"/>
  <pageSetup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217"/>
  <sheetViews>
    <sheetView zoomScaleNormal="100" workbookViewId="0">
      <selection activeCell="C7" sqref="C7"/>
    </sheetView>
  </sheetViews>
  <sheetFormatPr defaultColWidth="9.33203125" defaultRowHeight="12.75" x14ac:dyDescent="0.2"/>
  <cols>
    <col min="1" max="1" width="5.83203125" style="25" customWidth="1"/>
    <col min="2" max="2" width="20.6640625" style="5" customWidth="1"/>
    <col min="3" max="3" width="69.83203125" style="5" customWidth="1"/>
    <col min="4" max="6" width="6.83203125" style="577" customWidth="1"/>
    <col min="7" max="7" width="10.83203125" style="179" customWidth="1"/>
    <col min="8" max="8" width="15.1640625" style="113" customWidth="1"/>
    <col min="9" max="9" width="67.83203125" style="25" customWidth="1"/>
    <col min="10" max="10" width="9.33203125" style="574"/>
    <col min="11" max="11" width="52.1640625" style="5" customWidth="1"/>
    <col min="12" max="12" width="9.33203125" style="5"/>
    <col min="13" max="13" width="49.33203125" style="5" customWidth="1"/>
    <col min="14" max="16384" width="9.33203125" style="5"/>
  </cols>
  <sheetData>
    <row r="1" spans="1:11" s="62" customFormat="1" ht="78.75" customHeight="1" thickBot="1" x14ac:dyDescent="0.25">
      <c r="A1" s="2076" t="s">
        <v>2258</v>
      </c>
      <c r="B1" s="2077"/>
      <c r="C1" s="60" t="s">
        <v>1049</v>
      </c>
      <c r="D1" s="75" t="s">
        <v>511</v>
      </c>
      <c r="E1" s="2115"/>
      <c r="F1" s="2116"/>
      <c r="G1" s="2116"/>
      <c r="H1" s="2116"/>
      <c r="I1" s="1377" t="s">
        <v>886</v>
      </c>
      <c r="J1" s="147"/>
    </row>
    <row r="2" spans="1:11" s="109" customFormat="1" ht="50.25" thickBot="1" x14ac:dyDescent="0.35">
      <c r="A2" s="1020" t="s">
        <v>78</v>
      </c>
      <c r="B2" s="1009" t="s">
        <v>701</v>
      </c>
      <c r="C2" s="1010" t="s">
        <v>866</v>
      </c>
      <c r="D2" s="1008"/>
      <c r="E2" s="1011"/>
      <c r="F2" s="1012"/>
      <c r="G2" s="1013" t="s">
        <v>710</v>
      </c>
      <c r="H2" s="1009" t="s">
        <v>2028</v>
      </c>
      <c r="I2" s="1009" t="s">
        <v>255</v>
      </c>
      <c r="J2" s="170"/>
    </row>
    <row r="3" spans="1:11" s="1325" customFormat="1" ht="51.75" thickBot="1" x14ac:dyDescent="0.25">
      <c r="A3" s="322" t="str">
        <f>OF!A2</f>
        <v>OF1</v>
      </c>
      <c r="B3" s="398" t="str">
        <f>OF!C2</f>
        <v>Aspect of the AA's 100m Upslope Buffer</v>
      </c>
      <c r="C3" s="410"/>
      <c r="D3" s="413"/>
      <c r="E3" s="325"/>
      <c r="F3" s="325"/>
      <c r="G3" s="345" t="str">
        <f>IF((Aspect=""),"",Aspect)</f>
        <v/>
      </c>
      <c r="H3" s="1427" t="s">
        <v>827</v>
      </c>
      <c r="I3" s="439" t="s">
        <v>1042</v>
      </c>
      <c r="J3" s="1600"/>
    </row>
    <row r="4" spans="1:11" s="1325" customFormat="1" ht="30" customHeight="1" thickBot="1" x14ac:dyDescent="0.25">
      <c r="A4" s="317" t="str">
        <f>OF!A4</f>
        <v>OF3</v>
      </c>
      <c r="B4" s="864" t="str">
        <f>OF!C4</f>
        <v>Channel Connection</v>
      </c>
      <c r="C4" s="1102"/>
      <c r="D4" s="414"/>
      <c r="E4" s="321"/>
      <c r="F4" s="321"/>
      <c r="G4" s="330" t="str">
        <f>IF((ChannConn=""),"",ChannConn)</f>
        <v/>
      </c>
      <c r="H4" s="331" t="s">
        <v>845</v>
      </c>
      <c r="I4" s="319" t="s">
        <v>850</v>
      </c>
      <c r="J4" s="1600"/>
    </row>
    <row r="5" spans="1:11" s="1325" customFormat="1" ht="30" customHeight="1" thickBot="1" x14ac:dyDescent="0.25">
      <c r="A5" s="322" t="str">
        <f>OF!A16</f>
        <v>OF15</v>
      </c>
      <c r="B5" s="323" t="str">
        <f>OF!C16</f>
        <v>Growing Degree Days</v>
      </c>
      <c r="C5" s="1104"/>
      <c r="D5" s="413"/>
      <c r="E5" s="325"/>
      <c r="F5" s="325"/>
      <c r="G5" s="345" t="str">
        <f>IF((GrowDD=""),"",GrowDD)</f>
        <v/>
      </c>
      <c r="H5" s="1360" t="s">
        <v>698</v>
      </c>
      <c r="I5" s="439" t="s">
        <v>1043</v>
      </c>
      <c r="J5" s="1620"/>
    </row>
    <row r="6" spans="1:11" s="1325" customFormat="1" ht="84" customHeight="1" thickBot="1" x14ac:dyDescent="0.25">
      <c r="A6" s="317" t="str">
        <f>OF!A24</f>
        <v>OF23</v>
      </c>
      <c r="B6" s="864" t="str">
        <f>OF!C24</f>
        <v>% of AA that is Open Water (macro scale)</v>
      </c>
      <c r="C6" s="870"/>
      <c r="D6" s="414"/>
      <c r="E6" s="321"/>
      <c r="F6" s="321"/>
      <c r="G6" s="330" t="str">
        <f>IF((OWpct=""),"", OWpct)</f>
        <v/>
      </c>
      <c r="H6" s="332" t="s">
        <v>787</v>
      </c>
      <c r="I6" s="399" t="s">
        <v>1155</v>
      </c>
      <c r="J6" s="1600"/>
      <c r="K6" s="1332"/>
    </row>
    <row r="7" spans="1:11" s="1325" customFormat="1" ht="31.5" customHeight="1" thickBot="1" x14ac:dyDescent="0.25">
      <c r="A7" s="322" t="str">
        <f>OF!A37</f>
        <v>OF36</v>
      </c>
      <c r="B7" s="323" t="str">
        <f>OF!C37</f>
        <v>Subzero Days</v>
      </c>
      <c r="C7" s="1104"/>
      <c r="D7" s="413"/>
      <c r="E7" s="325"/>
      <c r="F7" s="325"/>
      <c r="G7" s="345" t="str">
        <f>IF((Sub0Days=""),"",Sub0Days)</f>
        <v/>
      </c>
      <c r="H7" s="1360" t="s">
        <v>689</v>
      </c>
      <c r="I7" s="439" t="s">
        <v>1808</v>
      </c>
      <c r="J7" s="1620"/>
    </row>
    <row r="8" spans="1:11" s="1325" customFormat="1" ht="41.25" customHeight="1" thickBot="1" x14ac:dyDescent="0.25">
      <c r="A8" s="317" t="str">
        <f>OF!A38</f>
        <v>OF37</v>
      </c>
      <c r="B8" s="864" t="str">
        <f>OF!C38</f>
        <v>SwampMarsh</v>
      </c>
      <c r="C8" s="870"/>
      <c r="D8" s="414"/>
      <c r="E8" s="321"/>
      <c r="F8" s="321"/>
      <c r="G8" s="330" t="str">
        <f>IF((SwampMarshPct=""),"",SwampMarshPct)</f>
        <v/>
      </c>
      <c r="H8" s="332" t="s">
        <v>824</v>
      </c>
      <c r="I8" s="399" t="s">
        <v>1044</v>
      </c>
      <c r="J8" s="1600"/>
      <c r="K8" s="1332"/>
    </row>
    <row r="9" spans="1:11" s="1325" customFormat="1" ht="57" customHeight="1" thickBot="1" x14ac:dyDescent="0.25">
      <c r="A9" s="313" t="str">
        <f>OF!A49</f>
        <v>OF48</v>
      </c>
      <c r="B9" s="316" t="str">
        <f>OF!C49</f>
        <v>Upland Edge Index</v>
      </c>
      <c r="C9" s="1105"/>
      <c r="D9" s="413"/>
      <c r="E9" s="325"/>
      <c r="F9" s="325"/>
      <c r="G9" s="345" t="str">
        <f>IF((WetPerim2Area=""),"",WetPerim2Area)</f>
        <v/>
      </c>
      <c r="H9" s="1360" t="s">
        <v>657</v>
      </c>
      <c r="I9" s="439" t="s">
        <v>1045</v>
      </c>
      <c r="J9" s="1620"/>
    </row>
    <row r="10" spans="1:11" s="1007" customFormat="1" ht="66.75" thickBot="1" x14ac:dyDescent="0.35">
      <c r="A10" s="997" t="s">
        <v>78</v>
      </c>
      <c r="B10" s="1017" t="s">
        <v>709</v>
      </c>
      <c r="C10" s="1021" t="s">
        <v>708</v>
      </c>
      <c r="D10" s="1000" t="s">
        <v>33</v>
      </c>
      <c r="E10" s="1001" t="s">
        <v>1131</v>
      </c>
      <c r="F10" s="1002" t="s">
        <v>1130</v>
      </c>
      <c r="G10" s="1003" t="s">
        <v>710</v>
      </c>
      <c r="H10" s="1004" t="s">
        <v>2028</v>
      </c>
      <c r="I10" s="1005" t="s">
        <v>917</v>
      </c>
      <c r="J10" s="1006"/>
    </row>
    <row r="11" spans="1:11" s="6" customFormat="1" ht="22.15" customHeight="1" thickBot="1" x14ac:dyDescent="0.25">
      <c r="A11" s="1991" t="str">
        <f>F!A5</f>
        <v>F1</v>
      </c>
      <c r="B11" s="1867" t="str">
        <f>F!B5</f>
        <v>Wetland Type - Predominant</v>
      </c>
      <c r="C11" s="794" t="str">
        <f>F!C5</f>
        <v>Follow the key below and mark the ONE row that best describes MOST of the AA:</v>
      </c>
      <c r="D11" s="730"/>
      <c r="E11" s="252"/>
      <c r="F11" s="253"/>
      <c r="G11" s="219">
        <f>MAX(F12:F17)/MAX(E12:E17)</f>
        <v>0</v>
      </c>
      <c r="H11" s="1867" t="s">
        <v>220</v>
      </c>
      <c r="I11" s="1987" t="s">
        <v>2429</v>
      </c>
      <c r="J11" s="137"/>
    </row>
    <row r="12" spans="1:11" s="6" customFormat="1" ht="41.25" customHeight="1" x14ac:dyDescent="0.2">
      <c r="A12" s="1991"/>
      <c r="B12" s="1911"/>
      <c r="C12" s="888" t="str">
        <f>F!C6</f>
        <v>A. Moss and/or lichen cover more than 25% of the ground. Substrate is mostly undecomposed peat. Choose between A1 and A2 and mark the choice with a 1 in their adjoining column. Otherwise go to B below.</v>
      </c>
      <c r="D12" s="223"/>
      <c r="E12" s="223"/>
      <c r="F12" s="223"/>
      <c r="G12" s="222"/>
      <c r="H12" s="1911"/>
      <c r="I12" s="1987"/>
      <c r="J12" s="137"/>
    </row>
    <row r="13" spans="1:11" s="6" customFormat="1" ht="82.5" customHeight="1" x14ac:dyDescent="0.2">
      <c r="A13" s="1991"/>
      <c r="B13" s="1911"/>
      <c r="C13" s="889" t="str">
        <f>F!C7</f>
        <v xml:space="preserve">   A1. Surface water is usually absent or, if present, pH is typically &lt;4.5 and conductivity is &lt;100 µS/cm (about 64 ppm TDS).  Often dominated by ericaceous shrubs (e.g., Labrador tea, lingonberry), sometimes with pitcher plant, sundew. Sedge cover usually sparse or absent. Trees, if present, are mainly limited to black spruce.  Wetland surface is never sloping, except sometimes from wetland center towards outer edges (convex), and surrounding landscape is flat.  Inlet and outlet channels are usually absent.</v>
      </c>
      <c r="D13" s="733">
        <f>F!D7</f>
        <v>0</v>
      </c>
      <c r="E13" s="254">
        <v>2</v>
      </c>
      <c r="F13" s="241">
        <f>D13*E13</f>
        <v>0</v>
      </c>
      <c r="G13" s="223"/>
      <c r="H13" s="1911"/>
      <c r="I13" s="1987"/>
      <c r="J13" s="137"/>
    </row>
    <row r="14" spans="1:11" s="6" customFormat="1" ht="69" customHeight="1" x14ac:dyDescent="0.2">
      <c r="A14" s="1991"/>
      <c r="B14" s="1911"/>
      <c r="C14" s="889" t="str">
        <f>F!C8</f>
        <v xml:space="preserve">   A2. Not A1. Surface water, if present, has pH typically &gt;4.5 and conductivity is &gt;100 µS/cm.  Sedges and/or cottongrass often dominate the ground cover, while ericaceous shrubs and black spruce may also be present. Sometimes at toe of slope or edge of water body. An exit channel is usually present. Wetter than A1, often with many small persistent pools.</v>
      </c>
      <c r="D14" s="733">
        <f>F!D8</f>
        <v>0</v>
      </c>
      <c r="E14" s="254">
        <v>2</v>
      </c>
      <c r="F14" s="241">
        <f>D14*E14</f>
        <v>0</v>
      </c>
      <c r="G14" s="223"/>
      <c r="H14" s="1911"/>
      <c r="I14" s="1987"/>
      <c r="J14" s="137"/>
    </row>
    <row r="15" spans="1:11" s="6" customFormat="1" ht="41.25" customHeight="1" x14ac:dyDescent="0.2">
      <c r="A15" s="1991"/>
      <c r="B15" s="1911"/>
      <c r="C15" s="889" t="str">
        <f>F!C9</f>
        <v>B. Moss and/or lichen cover less than 25% of the ground. Soil is mineral or decomposed organic (muck). Choose between B1 and B2 and mark the choice with a 1 in their adjoining column:</v>
      </c>
      <c r="D15" s="223"/>
      <c r="E15" s="223"/>
      <c r="F15" s="223"/>
      <c r="G15" s="729"/>
      <c r="H15" s="1911"/>
      <c r="I15" s="1987"/>
      <c r="J15" s="137"/>
    </row>
    <row r="16" spans="1:11" s="6" customFormat="1" ht="51" x14ac:dyDescent="0.2">
      <c r="A16" s="1991"/>
      <c r="B16" s="1911"/>
      <c r="C16" s="889" t="str">
        <f>F!C10</f>
        <v xml:space="preserve">   B1. Trees and shrubs taller than 1 m comprise more than 25% of the vegetated cover. Surface water is mostly absent or inundates the vegetation only seasonally (e.g., snowmelt pools or floodplain).  Often in riparian settings, abandoned beaver flowages.</v>
      </c>
      <c r="D16" s="733">
        <f>F!D10</f>
        <v>0</v>
      </c>
      <c r="E16" s="430">
        <v>3</v>
      </c>
      <c r="F16" s="241">
        <f t="shared" ref="F16:F17" si="0">D16*E16</f>
        <v>0</v>
      </c>
      <c r="G16" s="729"/>
      <c r="H16" s="1911"/>
      <c r="I16" s="1987"/>
      <c r="J16" s="137"/>
    </row>
    <row r="17" spans="1:11" s="6" customFormat="1" ht="77.25" thickBot="1" x14ac:dyDescent="0.25">
      <c r="A17" s="1991"/>
      <c r="B17" s="1911"/>
      <c r="C17" s="889" t="str">
        <f>F!C11</f>
        <v xml:space="preserve">   B2. Not B1.  Tree &amp; tall shrubs taller than 1 m comprise less than 25% of the vegetated cover. Vegetation is mostly herbaceous, e.g., cattail, bulrush, burreed, pond lily, horsetail.  Often in depressions (potholes, created ponds), or along lakes and rivers, or where fill has blocked water movement causing prolonged flooding of wetlands formerly covered by moss.  Surface water often fluctuates widely among seasons and years.</v>
      </c>
      <c r="D17" s="733">
        <f>F!D11</f>
        <v>0</v>
      </c>
      <c r="E17" s="430">
        <v>1</v>
      </c>
      <c r="F17" s="241">
        <f t="shared" si="0"/>
        <v>0</v>
      </c>
      <c r="G17" s="729"/>
      <c r="H17" s="1911"/>
      <c r="I17" s="1987"/>
      <c r="J17" s="137"/>
    </row>
    <row r="18" spans="1:11" ht="45.75" customHeight="1" thickBot="1" x14ac:dyDescent="0.25">
      <c r="A18" s="2036" t="str">
        <f>F!A18</f>
        <v>F3</v>
      </c>
      <c r="B18" s="2000" t="str">
        <f>F!B18</f>
        <v>Woody Cover by Height</v>
      </c>
      <c r="C18" s="1303" t="str">
        <f>F!C18</f>
        <v>Following EACH row below, indicate with a number code the percentage of the of the living vegetation in the AA occupied by that feature (5 if &gt;75%,   4 if 50-75%,   3 if 25-50%,   2 if 5-25%,   1 if &lt;5%, 0 if none).  If the AA has no trees or shrubs, SKIP to F8.</v>
      </c>
      <c r="D18" s="1311"/>
      <c r="E18" s="1312"/>
      <c r="F18" s="1313"/>
      <c r="G18" s="225">
        <f>IF((D19&gt;3),0, IF((D21&gt;3),0, IF((D23&gt;3),0,1)))</f>
        <v>1</v>
      </c>
      <c r="H18" s="2000" t="s">
        <v>794</v>
      </c>
      <c r="I18" s="2124" t="s">
        <v>2261</v>
      </c>
      <c r="K18" s="1325"/>
    </row>
    <row r="19" spans="1:11" ht="15" customHeight="1" x14ac:dyDescent="0.2">
      <c r="A19" s="2035"/>
      <c r="B19" s="1989"/>
      <c r="C19" s="995" t="str">
        <f>F!C19</f>
        <v>coniferous trees (including tamarack) taller than 3 m.</v>
      </c>
      <c r="D19" s="778">
        <f>F!D19</f>
        <v>0</v>
      </c>
      <c r="E19" s="722">
        <v>0</v>
      </c>
      <c r="F19" s="380">
        <f t="shared" ref="F19:F24" si="1">D19*E19</f>
        <v>0</v>
      </c>
      <c r="G19" s="1314"/>
      <c r="H19" s="1989"/>
      <c r="I19" s="2014"/>
    </row>
    <row r="20" spans="1:11" ht="15" customHeight="1" x14ac:dyDescent="0.2">
      <c r="A20" s="2035"/>
      <c r="B20" s="1989"/>
      <c r="C20" s="996" t="str">
        <f>F!C20</f>
        <v>deciduous trees taller than 3 m.</v>
      </c>
      <c r="D20" s="778">
        <f>F!D20</f>
        <v>0</v>
      </c>
      <c r="E20" s="722">
        <v>1</v>
      </c>
      <c r="F20" s="380">
        <f t="shared" si="1"/>
        <v>0</v>
      </c>
      <c r="G20" s="1315"/>
      <c r="H20" s="1989"/>
      <c r="I20" s="2014"/>
    </row>
    <row r="21" spans="1:11" ht="18.75" customHeight="1" x14ac:dyDescent="0.2">
      <c r="A21" s="2035"/>
      <c r="B21" s="1989"/>
      <c r="C21" s="996" t="str">
        <f>F!C21</f>
        <v>coniferous or ericaceous shrubs or trees 1-3 m tall not directly below the canopy of trees.</v>
      </c>
      <c r="D21" s="778">
        <f>F!D21</f>
        <v>0</v>
      </c>
      <c r="E21" s="722">
        <v>0</v>
      </c>
      <c r="F21" s="380">
        <f t="shared" si="1"/>
        <v>0</v>
      </c>
      <c r="G21" s="1315"/>
      <c r="H21" s="1989"/>
      <c r="I21" s="2014"/>
    </row>
    <row r="22" spans="1:11" ht="27" customHeight="1" x14ac:dyDescent="0.2">
      <c r="A22" s="2035"/>
      <c r="B22" s="1989"/>
      <c r="C22" s="996" t="str">
        <f>F!C22</f>
        <v>deciduous shrubs or trees 1-3 m tall not directly below the canopy of trees &gt;3 m (e.g., deciduous saplings).</v>
      </c>
      <c r="D22" s="778">
        <f>F!D22</f>
        <v>0</v>
      </c>
      <c r="E22" s="722">
        <v>1</v>
      </c>
      <c r="F22" s="380">
        <f t="shared" si="1"/>
        <v>0</v>
      </c>
      <c r="G22" s="1315"/>
      <c r="H22" s="1989"/>
      <c r="I22" s="2014"/>
    </row>
    <row r="23" spans="1:11" ht="25.5" x14ac:dyDescent="0.2">
      <c r="A23" s="2035"/>
      <c r="B23" s="1989"/>
      <c r="C23" s="996" t="str">
        <f>F!C23</f>
        <v>coniferous or ericaceous shrubs or trees &lt;1 m tall not directly below the canopy of taller vegetation.</v>
      </c>
      <c r="D23" s="778">
        <f>F!D23</f>
        <v>0</v>
      </c>
      <c r="E23" s="722">
        <v>0</v>
      </c>
      <c r="F23" s="380">
        <f t="shared" si="1"/>
        <v>0</v>
      </c>
      <c r="G23" s="1315"/>
      <c r="H23" s="1989"/>
      <c r="I23" s="2014"/>
    </row>
    <row r="24" spans="1:11" ht="15" customHeight="1" thickBot="1" x14ac:dyDescent="0.25">
      <c r="A24" s="2037"/>
      <c r="B24" s="2037"/>
      <c r="C24" s="1316" t="str">
        <f>F!C24</f>
        <v>deciduous shrubs or trees &lt;1 m tall (e.g., deciduous seedlings).</v>
      </c>
      <c r="D24" s="102">
        <f>F!D24</f>
        <v>0</v>
      </c>
      <c r="E24" s="244">
        <v>1</v>
      </c>
      <c r="F24" s="244">
        <f t="shared" si="1"/>
        <v>0</v>
      </c>
      <c r="G24" s="1317"/>
      <c r="H24" s="1990"/>
      <c r="I24" s="2015"/>
    </row>
    <row r="25" spans="1:11" ht="21" customHeight="1" thickBot="1" x14ac:dyDescent="0.25">
      <c r="A25" s="2035" t="str">
        <f>F!A34</f>
        <v>F5</v>
      </c>
      <c r="B25" s="1989" t="str">
        <f>F!B34</f>
        <v>Interspersion of Tall and Short Vegetation</v>
      </c>
      <c r="C25" s="1395" t="str">
        <f>F!C34</f>
        <v>Follow the key below and mark the ONE row that best describes MOST of the AA:</v>
      </c>
      <c r="D25" s="1257"/>
      <c r="E25" s="271"/>
      <c r="F25" s="279"/>
      <c r="G25" s="761">
        <f>MAX(F26:F31)/MAX(E26:E31)</f>
        <v>0</v>
      </c>
      <c r="H25" s="2063" t="s">
        <v>2259</v>
      </c>
      <c r="I25" s="2009" t="s">
        <v>2260</v>
      </c>
    </row>
    <row r="26" spans="1:11" ht="51" x14ac:dyDescent="0.2">
      <c r="A26" s="2035"/>
      <c r="B26" s="1989"/>
      <c r="C26" s="995" t="str">
        <f>F!C35</f>
        <v>A. Neither the vegetation taller than 1m nor the vegetation shorter than that comprise &gt;70% of the vegetated part of the AA. They each comprise 30-70%.  If false, go to B below.  Otherwise choose between A1 and A2 and mark the choice with a 1 in the adjoining column:</v>
      </c>
      <c r="D26" s="722"/>
      <c r="E26" s="722"/>
      <c r="F26" s="722"/>
      <c r="G26" s="723"/>
      <c r="H26" s="2063"/>
      <c r="I26" s="2125"/>
    </row>
    <row r="27" spans="1:11" ht="15.75" customHeight="1" x14ac:dyDescent="0.2">
      <c r="A27" s="2035"/>
      <c r="B27" s="1989"/>
      <c r="C27" s="996" t="str">
        <f>F!C36</f>
        <v xml:space="preserve">   A1. The two height classes are mostly scattered and intermixed throughout the AA.</v>
      </c>
      <c r="D27" s="1285">
        <f>F!D36</f>
        <v>0</v>
      </c>
      <c r="E27" s="722">
        <v>3</v>
      </c>
      <c r="F27" s="722">
        <f t="shared" ref="F27:F31" si="2">D27*E27</f>
        <v>0</v>
      </c>
      <c r="G27" s="723"/>
      <c r="H27" s="2063"/>
      <c r="I27" s="2125"/>
    </row>
    <row r="28" spans="1:11" ht="29.25" customHeight="1" x14ac:dyDescent="0.2">
      <c r="A28" s="2035"/>
      <c r="B28" s="1989"/>
      <c r="C28" s="996" t="str">
        <f>F!C37</f>
        <v xml:space="preserve">   A2. Not A1.  The two height classes are mostly in separate zones or bands, or in proportionately large clumps.</v>
      </c>
      <c r="D28" s="1285">
        <f>F!D37</f>
        <v>0</v>
      </c>
      <c r="E28" s="722">
        <v>1</v>
      </c>
      <c r="F28" s="722">
        <f t="shared" si="2"/>
        <v>0</v>
      </c>
      <c r="G28" s="723"/>
      <c r="H28" s="2063"/>
      <c r="I28" s="2125"/>
    </row>
    <row r="29" spans="1:11" ht="38.25" x14ac:dyDescent="0.2">
      <c r="A29" s="2035"/>
      <c r="B29" s="1989"/>
      <c r="C29" s="996" t="str">
        <f>F!C38</f>
        <v>B. Either the vegetation taller than 1m or the vegetation shorter than 1m comprise &gt;70% of the vegetated part of the AA.  One size class might even be totally absent.  Choose between B1 and B2 and mark the choice with a 1 in the adjoining column:</v>
      </c>
      <c r="D29" s="722"/>
      <c r="E29" s="722"/>
      <c r="F29" s="722">
        <f t="shared" si="2"/>
        <v>0</v>
      </c>
      <c r="G29" s="723"/>
      <c r="H29" s="2063"/>
      <c r="I29" s="2125"/>
    </row>
    <row r="30" spans="1:11" ht="27" customHeight="1" x14ac:dyDescent="0.2">
      <c r="A30" s="2035"/>
      <c r="B30" s="1989"/>
      <c r="C30" s="996" t="str">
        <f>F!C39</f>
        <v xml:space="preserve">   B1. The less prevalent height class is mostly scattered and intermixed within the prevalent one.</v>
      </c>
      <c r="D30" s="1285">
        <f>F!D39</f>
        <v>0</v>
      </c>
      <c r="E30" s="722">
        <v>2</v>
      </c>
      <c r="F30" s="722">
        <f t="shared" si="2"/>
        <v>0</v>
      </c>
      <c r="G30" s="723"/>
      <c r="H30" s="2063"/>
      <c r="I30" s="2125"/>
    </row>
    <row r="31" spans="1:11" ht="26.25" customHeight="1" thickBot="1" x14ac:dyDescent="0.25">
      <c r="A31" s="2037"/>
      <c r="B31" s="1990"/>
      <c r="C31" s="329" t="str">
        <f>F!C40</f>
        <v xml:space="preserve">   B2. Not B1.  The less prevalent height class is mostly located apart from the prevalent one, in separate zones or clumps, or is completely absent</v>
      </c>
      <c r="D31" s="1286">
        <f>F!D40</f>
        <v>0</v>
      </c>
      <c r="E31" s="276">
        <v>0</v>
      </c>
      <c r="F31" s="244">
        <f t="shared" si="2"/>
        <v>0</v>
      </c>
      <c r="G31" s="728"/>
      <c r="H31" s="2042"/>
      <c r="I31" s="2126"/>
    </row>
    <row r="32" spans="1:11" ht="39" thickBot="1" x14ac:dyDescent="0.25">
      <c r="A32" s="2103" t="str">
        <f>F!A63</f>
        <v>F11</v>
      </c>
      <c r="B32" s="2027" t="str">
        <f>F!B63</f>
        <v>% Bare Ground &amp; Thatch</v>
      </c>
      <c r="C32" s="104" t="str">
        <f>F!C63</f>
        <v>Consider the parts of the AA that lack surface water at the driest time of the growing season.  Viewed from directly above the ground layer, the predominant condition in those areas at that time is:</v>
      </c>
      <c r="D32" s="777"/>
      <c r="E32" s="376"/>
      <c r="F32" s="262"/>
      <c r="G32" s="225">
        <f>MAX(F33:F36)/MAX(E33:E36)</f>
        <v>0</v>
      </c>
      <c r="H32" s="2000" t="s">
        <v>228</v>
      </c>
      <c r="I32" s="2120" t="s">
        <v>1337</v>
      </c>
    </row>
    <row r="33" spans="1:9" ht="41.25" customHeight="1" x14ac:dyDescent="0.2">
      <c r="A33" s="2104"/>
      <c r="B33" s="2028"/>
      <c r="C33" s="995" t="str">
        <f>F!C64</f>
        <v>Little or no (&lt;5%) bare ground is visible between erect stems or under canopy anywhere in the vegetated AA. Ground is extensively blanketed by dense thatch, moss, lichens, graminoids with great stem densities, or plants with ground-hugging foliage. </v>
      </c>
      <c r="D33" s="303">
        <f>F!D64</f>
        <v>0</v>
      </c>
      <c r="E33" s="722">
        <v>3</v>
      </c>
      <c r="F33" s="722">
        <f>D33*E33</f>
        <v>0</v>
      </c>
      <c r="G33" s="202"/>
      <c r="H33" s="1989"/>
      <c r="I33" s="1987"/>
    </row>
    <row r="34" spans="1:9" ht="27" customHeight="1" x14ac:dyDescent="0.2">
      <c r="A34" s="2104"/>
      <c r="B34" s="2028"/>
      <c r="C34" s="996" t="str">
        <f>F!C65</f>
        <v>Slightly bare ground (5-20% bare between plants) is visible in places, but those areas comprise less than 5% of the unflooded parts of the AA.</v>
      </c>
      <c r="D34" s="778">
        <f>F!D65</f>
        <v>0</v>
      </c>
      <c r="E34" s="722">
        <v>2</v>
      </c>
      <c r="F34" s="722">
        <f>D34*E34</f>
        <v>0</v>
      </c>
      <c r="G34" s="775"/>
      <c r="H34" s="1989"/>
      <c r="I34" s="1987"/>
    </row>
    <row r="35" spans="1:9" ht="27" customHeight="1" x14ac:dyDescent="0.2">
      <c r="A35" s="2104"/>
      <c r="B35" s="2028"/>
      <c r="C35" s="996" t="str">
        <f>F!C66</f>
        <v>Much bare ground (20-50% bare between plants) is visible in places, and those areas comprise more than 5% of the unflooded parts of the AA. </v>
      </c>
      <c r="D35" s="778">
        <f>F!D66</f>
        <v>0</v>
      </c>
      <c r="E35" s="722">
        <v>1</v>
      </c>
      <c r="F35" s="722">
        <f>D35*E35</f>
        <v>0</v>
      </c>
      <c r="G35" s="775"/>
      <c r="H35" s="1989"/>
      <c r="I35" s="1987"/>
    </row>
    <row r="36" spans="1:9" ht="15" customHeight="1" thickBot="1" x14ac:dyDescent="0.25">
      <c r="A36" s="2105"/>
      <c r="B36" s="2029"/>
      <c r="C36" s="329" t="str">
        <f>F!C67</f>
        <v>Other conditions.</v>
      </c>
      <c r="D36" s="102">
        <f>F!D67</f>
        <v>0</v>
      </c>
      <c r="E36" s="244">
        <v>0</v>
      </c>
      <c r="F36" s="244">
        <f>D36*E36</f>
        <v>0</v>
      </c>
      <c r="G36" s="258"/>
      <c r="H36" s="1990"/>
      <c r="I36" s="1988"/>
    </row>
    <row r="37" spans="1:9" ht="60" customHeight="1" thickBot="1" x14ac:dyDescent="0.25">
      <c r="A37" s="2104" t="str">
        <f>F!A69</f>
        <v>F12</v>
      </c>
      <c r="B37" s="2028" t="str">
        <f>F!B69</f>
        <v>Ground Irregularity</v>
      </c>
      <c r="C37" s="1391" t="str">
        <f>F!C69</f>
        <v>Consider the parts of the AA that lack surface water at some time of the year.  The number of hummocks, small pits, raised mounds, upturned trees, animal burrows, gullies, natural levees, microdepressions, and other areas of peat or mineral soil that are raised or depressed &gt;10 cm compared to most of the area immediately surrounding them is:</v>
      </c>
      <c r="D37" s="736"/>
      <c r="E37" s="239"/>
      <c r="F37" s="259"/>
      <c r="G37" s="219">
        <f>MAX(F38:F40)/MAX(E38:E40)</f>
        <v>0</v>
      </c>
      <c r="H37" s="1989" t="s">
        <v>229</v>
      </c>
      <c r="I37" s="1987" t="s">
        <v>270</v>
      </c>
    </row>
    <row r="38" spans="1:9" ht="25.5" x14ac:dyDescent="0.2">
      <c r="A38" s="2104"/>
      <c r="B38" s="2028"/>
      <c r="C38" s="995" t="str">
        <f>F!C70</f>
        <v xml:space="preserve">Few or none (minimal microtopography; &lt;1% of the land has such features, or entire site is always water-covered). </v>
      </c>
      <c r="D38" s="778">
        <f>F!D70</f>
        <v>0</v>
      </c>
      <c r="E38" s="722">
        <v>0</v>
      </c>
      <c r="F38" s="722">
        <f>D38*E38</f>
        <v>0</v>
      </c>
      <c r="G38" s="202"/>
      <c r="H38" s="1989"/>
      <c r="I38" s="1987"/>
    </row>
    <row r="39" spans="1:9" ht="15" customHeight="1" x14ac:dyDescent="0.2">
      <c r="A39" s="2104"/>
      <c r="B39" s="2028"/>
      <c r="C39" s="996" t="str">
        <f>F!C71</f>
        <v>Intermediate.</v>
      </c>
      <c r="D39" s="778">
        <f>F!D71</f>
        <v>0</v>
      </c>
      <c r="E39" s="722">
        <v>2</v>
      </c>
      <c r="F39" s="722">
        <f>D39*E39</f>
        <v>0</v>
      </c>
      <c r="G39" s="775"/>
      <c r="H39" s="1989"/>
      <c r="I39" s="1987"/>
    </row>
    <row r="40" spans="1:9" ht="15" customHeight="1" thickBot="1" x14ac:dyDescent="0.25">
      <c r="A40" s="2105"/>
      <c r="B40" s="2029"/>
      <c r="C40" s="329" t="str">
        <f>F!C72</f>
        <v>Several (extensive micro-topography).</v>
      </c>
      <c r="D40" s="102">
        <f>F!D72</f>
        <v>0</v>
      </c>
      <c r="E40" s="244">
        <v>3</v>
      </c>
      <c r="F40" s="244">
        <f>D40*E40</f>
        <v>0</v>
      </c>
      <c r="G40" s="258"/>
      <c r="H40" s="1990"/>
      <c r="I40" s="1988"/>
    </row>
    <row r="41" spans="1:9" ht="21" customHeight="1" thickBot="1" x14ac:dyDescent="0.25">
      <c r="A41" s="2097" t="str">
        <f>F!A73</f>
        <v>F13</v>
      </c>
      <c r="B41" s="2073" t="str">
        <f>F!B73</f>
        <v>Upland Inclusions</v>
      </c>
      <c r="C41" s="90" t="str">
        <f>F!C73</f>
        <v>Within the AA, inclusions of upland that individually are &gt;100 sq.m. are:</v>
      </c>
      <c r="D41" s="372"/>
      <c r="E41" s="376"/>
      <c r="F41" s="262"/>
      <c r="G41" s="225">
        <f>IF((D42=1),"", MAX(F42:F44)/MAX(E42:E44))</f>
        <v>0</v>
      </c>
      <c r="H41" s="2000" t="s">
        <v>230</v>
      </c>
      <c r="I41" s="2120" t="s">
        <v>271</v>
      </c>
    </row>
    <row r="42" spans="1:9" ht="15" customHeight="1" x14ac:dyDescent="0.2">
      <c r="A42" s="2104"/>
      <c r="B42" s="2028"/>
      <c r="C42" s="888" t="str">
        <f>F!C74</f>
        <v>Few or none.</v>
      </c>
      <c r="D42" s="382">
        <f>F!D74</f>
        <v>0</v>
      </c>
      <c r="E42" s="377">
        <v>0</v>
      </c>
      <c r="F42" s="377">
        <f>D42*E42</f>
        <v>0</v>
      </c>
      <c r="G42" s="202"/>
      <c r="H42" s="1989"/>
      <c r="I42" s="1987"/>
    </row>
    <row r="43" spans="1:9" ht="15" customHeight="1" x14ac:dyDescent="0.2">
      <c r="A43" s="2104"/>
      <c r="B43" s="2028"/>
      <c r="C43" s="889" t="str">
        <f>F!C75</f>
        <v>Intermediate (1 - 10% of vegetated part of the AA).</v>
      </c>
      <c r="D43" s="382">
        <f>F!D75</f>
        <v>0</v>
      </c>
      <c r="E43" s="377">
        <v>1</v>
      </c>
      <c r="F43" s="377">
        <f>D43*E43</f>
        <v>0</v>
      </c>
      <c r="G43" s="267"/>
      <c r="H43" s="1989"/>
      <c r="I43" s="1987"/>
    </row>
    <row r="44" spans="1:9" ht="15" customHeight="1" thickBot="1" x14ac:dyDescent="0.25">
      <c r="A44" s="2105"/>
      <c r="B44" s="2029"/>
      <c r="C44" s="82" t="str">
        <f>F!C76</f>
        <v>Many (e.g., wetland-upland "mosaic", &gt;10% of the vegetated AA).</v>
      </c>
      <c r="D44" s="191">
        <f>F!D76</f>
        <v>0</v>
      </c>
      <c r="E44" s="244">
        <v>2</v>
      </c>
      <c r="F44" s="244">
        <f>D44*E44</f>
        <v>0</v>
      </c>
      <c r="G44" s="258"/>
      <c r="H44" s="1990"/>
      <c r="I44" s="1988"/>
    </row>
    <row r="45" spans="1:9" ht="45" customHeight="1" thickBot="1" x14ac:dyDescent="0.25">
      <c r="A45" s="2104" t="str">
        <f>F!A77</f>
        <v>F14</v>
      </c>
      <c r="B45" s="2028" t="str">
        <f>F!B77</f>
        <v>Soil Texture</v>
      </c>
      <c r="C45" s="1391" t="str">
        <f>F!C77</f>
        <v>In parts of the AA that lack persistent water, the texture of soil in the uppermost layer is mostly:  [To determine this, use a trowel to check in at least 3 widely spaced locations, and use the soil texture key in Appendix A of the Manual].</v>
      </c>
      <c r="D45" s="437"/>
      <c r="E45" s="239"/>
      <c r="F45" s="259"/>
      <c r="G45" s="219">
        <f>MAX(F46:F51)/MAX(E46:E51)</f>
        <v>0</v>
      </c>
      <c r="H45" s="2000" t="s">
        <v>231</v>
      </c>
      <c r="I45" s="1987" t="s">
        <v>1011</v>
      </c>
    </row>
    <row r="46" spans="1:9" ht="15" customHeight="1" x14ac:dyDescent="0.2">
      <c r="A46" s="2104"/>
      <c r="B46" s="2028"/>
      <c r="C46" s="995" t="str">
        <f>F!C78</f>
        <v>Loamy: includes loam, sandy loam.</v>
      </c>
      <c r="D46" s="92">
        <f>F!D78</f>
        <v>0</v>
      </c>
      <c r="E46" s="241">
        <v>1</v>
      </c>
      <c r="F46" s="241">
        <f t="shared" ref="F46:F51" si="3">D46*E46</f>
        <v>0</v>
      </c>
      <c r="G46" s="202"/>
      <c r="H46" s="1989"/>
      <c r="I46" s="1987"/>
    </row>
    <row r="47" spans="1:9" ht="27" customHeight="1" x14ac:dyDescent="0.2">
      <c r="A47" s="2104"/>
      <c r="B47" s="2028"/>
      <c r="C47" s="996" t="str">
        <f>F!C79</f>
        <v>Fines: includes silt, glacial flour, clay, clay loam, silty clay, silty clay loam, sandy clay, sandy clay loam.</v>
      </c>
      <c r="D47" s="92">
        <f>F!D79</f>
        <v>0</v>
      </c>
      <c r="E47" s="241">
        <v>2</v>
      </c>
      <c r="F47" s="241">
        <f t="shared" si="3"/>
        <v>0</v>
      </c>
      <c r="G47" s="257"/>
      <c r="H47" s="1989"/>
      <c r="I47" s="1987"/>
    </row>
    <row r="48" spans="1:9" ht="15" customHeight="1" x14ac:dyDescent="0.2">
      <c r="A48" s="2104"/>
      <c r="B48" s="2028"/>
      <c r="C48" s="996" t="str">
        <f>F!C80</f>
        <v>Peat, present to 40 cm depth or greater.</v>
      </c>
      <c r="D48" s="92">
        <f>F!D80</f>
        <v>0</v>
      </c>
      <c r="E48" s="241">
        <v>4</v>
      </c>
      <c r="F48" s="241">
        <f t="shared" si="3"/>
        <v>0</v>
      </c>
      <c r="G48" s="257"/>
      <c r="H48" s="1989"/>
      <c r="I48" s="1987"/>
    </row>
    <row r="49" spans="1:10" ht="15" customHeight="1" x14ac:dyDescent="0.2">
      <c r="A49" s="2104"/>
      <c r="B49" s="2028"/>
      <c r="C49" s="996" t="str">
        <f>F!C81</f>
        <v>Peat, but becomes mineral before reaching 40 cm depth.</v>
      </c>
      <c r="D49" s="92">
        <f>F!D81</f>
        <v>0</v>
      </c>
      <c r="E49" s="380">
        <v>3</v>
      </c>
      <c r="F49" s="380">
        <f t="shared" si="3"/>
        <v>0</v>
      </c>
      <c r="G49" s="721"/>
      <c r="H49" s="1989"/>
      <c r="I49" s="1987"/>
    </row>
    <row r="50" spans="1:10" ht="15" customHeight="1" x14ac:dyDescent="0.2">
      <c r="A50" s="2104"/>
      <c r="B50" s="2028"/>
      <c r="C50" s="996" t="str">
        <f>F!C82</f>
        <v>Organic or organic muck, but becomes mineral before reaching 40 cm depth.</v>
      </c>
      <c r="D50" s="92">
        <f>F!D82</f>
        <v>0</v>
      </c>
      <c r="E50" s="380">
        <v>3</v>
      </c>
      <c r="F50" s="380">
        <f t="shared" si="3"/>
        <v>0</v>
      </c>
      <c r="G50" s="721"/>
      <c r="H50" s="1989"/>
      <c r="I50" s="1987"/>
    </row>
    <row r="51" spans="1:10" ht="27" customHeight="1" thickBot="1" x14ac:dyDescent="0.25">
      <c r="A51" s="2104"/>
      <c r="B51" s="2028"/>
      <c r="C51" s="780" t="str">
        <f>F!C83</f>
        <v>Coarse: includes sand, loamy sand, gravel, cobble, stones, boulders, fluvents, fluvaquents, riverwash.</v>
      </c>
      <c r="D51" s="190">
        <f>F!D83</f>
        <v>0</v>
      </c>
      <c r="E51" s="242">
        <v>0</v>
      </c>
      <c r="F51" s="242">
        <f t="shared" si="3"/>
        <v>0</v>
      </c>
      <c r="G51" s="433"/>
      <c r="H51" s="1990"/>
      <c r="I51" s="1987"/>
    </row>
    <row r="52" spans="1:10" s="6" customFormat="1" ht="39" thickBot="1" x14ac:dyDescent="0.25">
      <c r="A52" s="2000" t="str">
        <f>F!A121</f>
        <v>F22</v>
      </c>
      <c r="B52" s="2000" t="str">
        <f>F!B121</f>
        <v>% Never With Surface Water</v>
      </c>
      <c r="C52" s="1023" t="str">
        <f>F!C121</f>
        <v>The percentage of the AA that never contains surface water during an average year (that is, except perhaps for a few hours after snowmelt or rainstorms), but which is still a wetland, is:</v>
      </c>
      <c r="D52" s="774"/>
      <c r="E52" s="255"/>
      <c r="F52" s="256"/>
      <c r="G52" s="225">
        <f>MAX(F53:F57)/MAX(E53:E57)</f>
        <v>0</v>
      </c>
      <c r="H52" s="1867" t="s">
        <v>468</v>
      </c>
      <c r="I52" s="2008" t="s">
        <v>290</v>
      </c>
      <c r="J52" s="137"/>
    </row>
    <row r="53" spans="1:10" s="6" customFormat="1" ht="38.25" x14ac:dyDescent="0.2">
      <c r="A53" s="1989"/>
      <c r="B53" s="1989"/>
      <c r="C53" s="995" t="str">
        <f>F!C122</f>
        <v>&lt;0.01 hectare (about 10 m on a side) and &lt;1% of the AA never has surface water.  In other words, all or nearly all of the AA is covered by water permanently or at least seasonally.</v>
      </c>
      <c r="D53" s="773">
        <f>F!D122</f>
        <v>0</v>
      </c>
      <c r="E53" s="748">
        <v>4</v>
      </c>
      <c r="F53" s="722">
        <f>D53*E53</f>
        <v>0</v>
      </c>
      <c r="G53" s="775"/>
      <c r="H53" s="1911"/>
      <c r="I53" s="2009"/>
      <c r="J53" s="137"/>
    </row>
    <row r="54" spans="1:10" s="6" customFormat="1" ht="15" customHeight="1" x14ac:dyDescent="0.2">
      <c r="A54" s="1989"/>
      <c r="B54" s="1989"/>
      <c r="C54" s="996" t="str">
        <f>F!C123</f>
        <v>1-25% of the AA never contains surface water.</v>
      </c>
      <c r="D54" s="773">
        <f>F!D123</f>
        <v>0</v>
      </c>
      <c r="E54" s="748">
        <v>5</v>
      </c>
      <c r="F54" s="722">
        <f>D54*E54</f>
        <v>0</v>
      </c>
      <c r="G54" s="775"/>
      <c r="H54" s="1911"/>
      <c r="I54" s="2009"/>
      <c r="J54" s="137"/>
    </row>
    <row r="55" spans="1:10" s="6" customFormat="1" ht="15" customHeight="1" x14ac:dyDescent="0.2">
      <c r="A55" s="1989"/>
      <c r="B55" s="1989"/>
      <c r="C55" s="996" t="str">
        <f>F!C124</f>
        <v>25-50% of the AA never contains surface water.</v>
      </c>
      <c r="D55" s="773">
        <f>F!D124</f>
        <v>0</v>
      </c>
      <c r="E55" s="748">
        <v>3</v>
      </c>
      <c r="F55" s="722">
        <f>D55*E55</f>
        <v>0</v>
      </c>
      <c r="G55" s="775"/>
      <c r="H55" s="1911"/>
      <c r="I55" s="2009"/>
      <c r="J55" s="137"/>
    </row>
    <row r="56" spans="1:10" s="6" customFormat="1" ht="15" customHeight="1" x14ac:dyDescent="0.2">
      <c r="A56" s="1989"/>
      <c r="B56" s="1989"/>
      <c r="C56" s="996" t="str">
        <f>F!C125</f>
        <v>50-99% of the AA never contains surface water.</v>
      </c>
      <c r="D56" s="773">
        <f>F!D125</f>
        <v>0</v>
      </c>
      <c r="E56" s="748">
        <v>2</v>
      </c>
      <c r="F56" s="722">
        <f>D56*E56</f>
        <v>0</v>
      </c>
      <c r="G56" s="775"/>
      <c r="H56" s="1911"/>
      <c r="I56" s="2009"/>
      <c r="J56" s="137"/>
    </row>
    <row r="57" spans="1:10" s="6" customFormat="1" ht="39" thickBot="1" x14ac:dyDescent="0.25">
      <c r="A57" s="1990"/>
      <c r="B57" s="1990"/>
      <c r="C57" s="329" t="str">
        <f>F!C126</f>
        <v>&gt;99% of the AA never contains surface water, except perhaps for water flowing in channels and/or in pools that occupy &lt;1% of the AA. SKIP to F48 (Channel Connection &amp; Outflow Duration).</v>
      </c>
      <c r="D57" s="776">
        <f>F!D126</f>
        <v>0</v>
      </c>
      <c r="E57" s="205">
        <v>1</v>
      </c>
      <c r="F57" s="244">
        <f>D57*E57</f>
        <v>0</v>
      </c>
      <c r="G57" s="258"/>
      <c r="H57" s="1978"/>
      <c r="I57" s="2010"/>
      <c r="J57" s="137"/>
    </row>
    <row r="58" spans="1:10" ht="30" customHeight="1" thickBot="1" x14ac:dyDescent="0.25">
      <c r="A58" s="1991" t="str">
        <f>F!A127</f>
        <v>F23</v>
      </c>
      <c r="B58" s="1911" t="str">
        <f>F!B127</f>
        <v>% with Persistent Surface Water</v>
      </c>
      <c r="C58" s="877" t="str">
        <f>F!C127</f>
        <v>The percentage of the AA that has surface water (either ponded or flowing, either open or obscured by vegetation) during all of the growing season during most years is:</v>
      </c>
      <c r="D58" s="736"/>
      <c r="E58" s="239"/>
      <c r="F58" s="259"/>
      <c r="G58" s="219">
        <f>IF((AllSat1&gt;0),"", MAX(F59:F64)/MAX(E59:E64))</f>
        <v>0</v>
      </c>
      <c r="H58" s="1989" t="s">
        <v>222</v>
      </c>
      <c r="I58" s="1987" t="s">
        <v>1810</v>
      </c>
    </row>
    <row r="59" spans="1:10" ht="15" customHeight="1" x14ac:dyDescent="0.2">
      <c r="A59" s="1991"/>
      <c r="B59" s="1911"/>
      <c r="C59" s="360" t="str">
        <f>F!C128</f>
        <v>&lt;0.01 hectare and &lt;1% of the AA.  SKIP to F27 (% Flooded Only Seasonally).</v>
      </c>
      <c r="D59" s="247">
        <f>F!D128</f>
        <v>0</v>
      </c>
      <c r="E59" s="241">
        <v>0</v>
      </c>
      <c r="F59" s="241">
        <f t="shared" ref="F59:F64" si="4">D59*E59</f>
        <v>0</v>
      </c>
      <c r="G59" s="257"/>
      <c r="H59" s="1989"/>
      <c r="I59" s="1987"/>
    </row>
    <row r="60" spans="1:10" ht="15" customHeight="1" x14ac:dyDescent="0.2">
      <c r="A60" s="1991"/>
      <c r="B60" s="1911"/>
      <c r="C60" s="747" t="str">
        <f>F!C129</f>
        <v>1-5% of the AA.</v>
      </c>
      <c r="D60" s="247">
        <f>F!D129</f>
        <v>0</v>
      </c>
      <c r="E60" s="260">
        <v>1</v>
      </c>
      <c r="F60" s="241">
        <f t="shared" si="4"/>
        <v>0</v>
      </c>
      <c r="G60" s="202"/>
      <c r="H60" s="1989"/>
      <c r="I60" s="1987"/>
    </row>
    <row r="61" spans="1:10" ht="15" customHeight="1" x14ac:dyDescent="0.2">
      <c r="A61" s="1991"/>
      <c r="B61" s="1911"/>
      <c r="C61" s="747" t="str">
        <f>F!C130</f>
        <v>5-25% of the AA.</v>
      </c>
      <c r="D61" s="247">
        <f>F!D130</f>
        <v>0</v>
      </c>
      <c r="E61" s="260">
        <v>1</v>
      </c>
      <c r="F61" s="241">
        <f t="shared" si="4"/>
        <v>0</v>
      </c>
      <c r="G61" s="202"/>
      <c r="H61" s="1989"/>
      <c r="I61" s="1987"/>
    </row>
    <row r="62" spans="1:10" ht="15" customHeight="1" x14ac:dyDescent="0.2">
      <c r="A62" s="1991"/>
      <c r="B62" s="1911"/>
      <c r="C62" s="747" t="str">
        <f>F!C131</f>
        <v>25-50% of the AA.</v>
      </c>
      <c r="D62" s="247">
        <f>F!D131</f>
        <v>0</v>
      </c>
      <c r="E62" s="260">
        <v>2</v>
      </c>
      <c r="F62" s="241">
        <f t="shared" si="4"/>
        <v>0</v>
      </c>
      <c r="G62" s="257"/>
      <c r="H62" s="1989"/>
      <c r="I62" s="1987"/>
    </row>
    <row r="63" spans="1:10" ht="15" customHeight="1" x14ac:dyDescent="0.2">
      <c r="A63" s="1991"/>
      <c r="B63" s="1911"/>
      <c r="C63" s="747" t="str">
        <f>F!C132</f>
        <v>50-95% of the AA.</v>
      </c>
      <c r="D63" s="247">
        <f>F!D132</f>
        <v>0</v>
      </c>
      <c r="E63" s="260">
        <v>3</v>
      </c>
      <c r="F63" s="241">
        <f t="shared" si="4"/>
        <v>0</v>
      </c>
      <c r="G63" s="257"/>
      <c r="H63" s="1989"/>
      <c r="I63" s="1987"/>
    </row>
    <row r="64" spans="1:10" ht="15" customHeight="1" thickBot="1" x14ac:dyDescent="0.25">
      <c r="A64" s="1991"/>
      <c r="B64" s="1911"/>
      <c r="C64" s="747" t="str">
        <f>F!C133</f>
        <v>&gt;95% of the AA.</v>
      </c>
      <c r="D64" s="383">
        <f>F!D133</f>
        <v>0</v>
      </c>
      <c r="E64" s="432">
        <v>2</v>
      </c>
      <c r="F64" s="380">
        <f t="shared" si="4"/>
        <v>0</v>
      </c>
      <c r="G64" s="433"/>
      <c r="H64" s="1990"/>
      <c r="I64" s="1987"/>
    </row>
    <row r="65" spans="1:10" s="6" customFormat="1" ht="30" customHeight="1" thickBot="1" x14ac:dyDescent="0.25">
      <c r="A65" s="2036" t="str">
        <f>F!A142</f>
        <v>F27</v>
      </c>
      <c r="B65" s="2000" t="str">
        <f>F!B142</f>
        <v>% Flooded Only Seasonally</v>
      </c>
      <c r="C65" s="104" t="str">
        <f>F!C142</f>
        <v>The percentage of the AA that is covered by unfrozen surface water only during the wettest time of the year is:</v>
      </c>
      <c r="D65" s="372"/>
      <c r="E65" s="376"/>
      <c r="F65" s="262"/>
      <c r="G65" s="225">
        <f>IF((AllSat1&gt;0),"",MAX(F66:F70)/MAX(E66:E70))</f>
        <v>0</v>
      </c>
      <c r="H65" s="1867" t="s">
        <v>221</v>
      </c>
      <c r="I65" s="2120" t="s">
        <v>1809</v>
      </c>
      <c r="J65" s="137"/>
    </row>
    <row r="66" spans="1:10" s="6" customFormat="1" ht="15" customHeight="1" x14ac:dyDescent="0.2">
      <c r="A66" s="2035"/>
      <c r="B66" s="1989"/>
      <c r="C66" s="360" t="str">
        <f>F!C143</f>
        <v xml:space="preserve">None, or &lt;0.01 hectare and &lt;1% of the AA. </v>
      </c>
      <c r="D66" s="434">
        <f>F!D143</f>
        <v>0</v>
      </c>
      <c r="E66" s="435">
        <v>0</v>
      </c>
      <c r="F66" s="377">
        <f>D66*E66</f>
        <v>0</v>
      </c>
      <c r="G66" s="202"/>
      <c r="H66" s="1911"/>
      <c r="I66" s="1987"/>
      <c r="J66" s="137"/>
    </row>
    <row r="67" spans="1:10" s="6" customFormat="1" ht="15" customHeight="1" x14ac:dyDescent="0.2">
      <c r="A67" s="2035"/>
      <c r="B67" s="1989"/>
      <c r="C67" s="747" t="str">
        <f>F!C144</f>
        <v xml:space="preserve">1-25% </v>
      </c>
      <c r="D67" s="434">
        <f>F!D144</f>
        <v>0</v>
      </c>
      <c r="E67" s="435">
        <v>1</v>
      </c>
      <c r="F67" s="377">
        <f>D67*E67</f>
        <v>0</v>
      </c>
      <c r="G67" s="257"/>
      <c r="H67" s="1911"/>
      <c r="I67" s="1987"/>
      <c r="J67" s="137"/>
    </row>
    <row r="68" spans="1:10" s="6" customFormat="1" ht="15" customHeight="1" x14ac:dyDescent="0.2">
      <c r="A68" s="2035"/>
      <c r="B68" s="1989"/>
      <c r="C68" s="747" t="str">
        <f>F!C145</f>
        <v xml:space="preserve">25-50% </v>
      </c>
      <c r="D68" s="434">
        <f>F!D145</f>
        <v>0</v>
      </c>
      <c r="E68" s="435">
        <v>2</v>
      </c>
      <c r="F68" s="377">
        <f>D68*E68</f>
        <v>0</v>
      </c>
      <c r="G68" s="257"/>
      <c r="H68" s="1911"/>
      <c r="I68" s="1987"/>
      <c r="J68" s="137"/>
    </row>
    <row r="69" spans="1:10" s="6" customFormat="1" ht="15" customHeight="1" x14ac:dyDescent="0.2">
      <c r="A69" s="2035"/>
      <c r="B69" s="1989"/>
      <c r="C69" s="747" t="str">
        <f>F!C146</f>
        <v xml:space="preserve">50-95% </v>
      </c>
      <c r="D69" s="434">
        <f>F!D146</f>
        <v>0</v>
      </c>
      <c r="E69" s="435">
        <v>3</v>
      </c>
      <c r="F69" s="377">
        <f>D69*E69</f>
        <v>0</v>
      </c>
      <c r="G69" s="257"/>
      <c r="H69" s="1911"/>
      <c r="I69" s="1987"/>
      <c r="J69" s="137"/>
    </row>
    <row r="70" spans="1:10" ht="15" customHeight="1" thickBot="1" x14ac:dyDescent="0.25">
      <c r="A70" s="2037"/>
      <c r="B70" s="1990"/>
      <c r="C70" s="82" t="str">
        <f>F!C147</f>
        <v xml:space="preserve">&gt;95% </v>
      </c>
      <c r="D70" s="191">
        <f>F!D147</f>
        <v>0</v>
      </c>
      <c r="E70" s="263">
        <v>4</v>
      </c>
      <c r="F70" s="244">
        <f>D70*E70</f>
        <v>0</v>
      </c>
      <c r="G70" s="258"/>
      <c r="H70" s="1978"/>
      <c r="I70" s="1988"/>
    </row>
    <row r="71" spans="1:10" s="6" customFormat="1" ht="30" customHeight="1" thickBot="1" x14ac:dyDescent="0.25">
      <c r="A71" s="2129" t="str">
        <f>F!A148</f>
        <v>F28</v>
      </c>
      <c r="B71" s="2016" t="str">
        <f>F!B148</f>
        <v>Annual Water Fluctuation Range</v>
      </c>
      <c r="C71" s="1391" t="str">
        <f>F!C148</f>
        <v>The annual fluctuation in surface water level within most of the parts of the AA that contain surface water is:</v>
      </c>
      <c r="D71" s="238"/>
      <c r="E71" s="239"/>
      <c r="F71" s="259"/>
      <c r="G71" s="264">
        <f>IF((AllSat1&gt;0),"", IF((NoSeasonal=1),"",MAX(F72:F75)/MAX(E72:E75)))</f>
        <v>0</v>
      </c>
      <c r="H71" s="1867" t="s">
        <v>223</v>
      </c>
      <c r="I71" s="1987" t="s">
        <v>1072</v>
      </c>
      <c r="J71" s="137"/>
    </row>
    <row r="72" spans="1:10" s="6" customFormat="1" ht="15" customHeight="1" x14ac:dyDescent="0.2">
      <c r="A72" s="2110"/>
      <c r="B72" s="2131"/>
      <c r="C72" s="995" t="str">
        <f>F!C149</f>
        <v xml:space="preserve">&lt;10 cm change (stable or nearly so) </v>
      </c>
      <c r="D72" s="92">
        <f>F!D149</f>
        <v>0</v>
      </c>
      <c r="E72" s="260">
        <v>0</v>
      </c>
      <c r="F72" s="241">
        <f>D72*E72</f>
        <v>0</v>
      </c>
      <c r="G72" s="202"/>
      <c r="H72" s="1911"/>
      <c r="I72" s="1987"/>
      <c r="J72" s="137"/>
    </row>
    <row r="73" spans="1:10" s="6" customFormat="1" ht="15" customHeight="1" x14ac:dyDescent="0.2">
      <c r="A73" s="2110"/>
      <c r="B73" s="2131"/>
      <c r="C73" s="996" t="str">
        <f>F!C150</f>
        <v>10 cm - 50 cm change</v>
      </c>
      <c r="D73" s="92">
        <f>F!D150</f>
        <v>0</v>
      </c>
      <c r="E73" s="260">
        <v>2</v>
      </c>
      <c r="F73" s="241">
        <f>D73*E73</f>
        <v>0</v>
      </c>
      <c r="G73" s="257"/>
      <c r="H73" s="1911"/>
      <c r="I73" s="1987"/>
      <c r="J73" s="137"/>
    </row>
    <row r="74" spans="1:10" s="6" customFormat="1" ht="15" customHeight="1" x14ac:dyDescent="0.2">
      <c r="A74" s="2110"/>
      <c r="B74" s="2131"/>
      <c r="C74" s="996" t="str">
        <f>F!C152</f>
        <v>1-2 m change</v>
      </c>
      <c r="D74" s="92">
        <f>F!D152</f>
        <v>0</v>
      </c>
      <c r="E74" s="260">
        <v>3</v>
      </c>
      <c r="F74" s="241">
        <f>D74*E74</f>
        <v>0</v>
      </c>
      <c r="G74" s="257"/>
      <c r="H74" s="1911"/>
      <c r="I74" s="1987"/>
      <c r="J74" s="137"/>
    </row>
    <row r="75" spans="1:10" s="6" customFormat="1" ht="15" customHeight="1" thickBot="1" x14ac:dyDescent="0.25">
      <c r="A75" s="2130"/>
      <c r="B75" s="2114"/>
      <c r="C75" s="780" t="str">
        <f>F!C153</f>
        <v>&gt;2 m change</v>
      </c>
      <c r="D75" s="190">
        <f>F!D153</f>
        <v>0</v>
      </c>
      <c r="E75" s="261">
        <v>4</v>
      </c>
      <c r="F75" s="242">
        <f>D75*E75</f>
        <v>0</v>
      </c>
      <c r="G75" s="433"/>
      <c r="H75" s="1978"/>
      <c r="I75" s="1987"/>
      <c r="J75" s="137"/>
    </row>
    <row r="76" spans="1:10" ht="45" customHeight="1" thickBot="1" x14ac:dyDescent="0.25">
      <c r="A76" s="1992" t="str">
        <f>F!A165</f>
        <v>F31</v>
      </c>
      <c r="B76" s="1867" t="str">
        <f>F!B165</f>
        <v xml:space="preserve">% of Water Ponded vs. Flowing </v>
      </c>
      <c r="C76" s="1023" t="str">
        <f>F!C165</f>
        <v>The percentage of the AA's surface water that is ponded (stagnant, or flows so slowly that fine sediment is not held in suspension) during most of the time it is present during the growing season, and which is either open or shaded by emergent vegetation, is:</v>
      </c>
      <c r="D76" s="777"/>
      <c r="E76" s="440"/>
      <c r="F76" s="262"/>
      <c r="G76" s="225">
        <f>IF((AllSat1&gt;0),"", IF((SmallAA=1),"", MAX(F77:F82)/MAX(E77:E82)))</f>
        <v>0</v>
      </c>
      <c r="H76" s="2000" t="s">
        <v>503</v>
      </c>
      <c r="I76" s="2008" t="s">
        <v>1074</v>
      </c>
    </row>
    <row r="77" spans="1:10" ht="27" customHeight="1" x14ac:dyDescent="0.2">
      <c r="A77" s="1991"/>
      <c r="B77" s="1911"/>
      <c r="C77" s="995" t="str">
        <f>F!C166</f>
        <v>None, or &lt;0.01 hectare and &lt;1% of the AA. Nearly all water is flowing.  Enter "1" and SKIP to F43 (pH measurement).</v>
      </c>
      <c r="D77" s="737">
        <f>F!D166</f>
        <v>0</v>
      </c>
      <c r="E77" s="779">
        <v>0</v>
      </c>
      <c r="F77" s="722">
        <f t="shared" ref="F77:F82" si="5">D77*E77</f>
        <v>0</v>
      </c>
      <c r="G77" s="775"/>
      <c r="H77" s="1989"/>
      <c r="I77" s="2009"/>
    </row>
    <row r="78" spans="1:10" ht="15" customHeight="1" x14ac:dyDescent="0.2">
      <c r="A78" s="1991"/>
      <c r="B78" s="1911"/>
      <c r="C78" s="996" t="str">
        <f>F!C167</f>
        <v>1-5% of the water.  The rest is flowing.</v>
      </c>
      <c r="D78" s="737">
        <f>F!D167</f>
        <v>0</v>
      </c>
      <c r="E78" s="779">
        <v>1</v>
      </c>
      <c r="F78" s="722">
        <f t="shared" si="5"/>
        <v>0</v>
      </c>
      <c r="G78" s="775"/>
      <c r="H78" s="1989"/>
      <c r="I78" s="2009"/>
    </row>
    <row r="79" spans="1:10" ht="15" customHeight="1" x14ac:dyDescent="0.2">
      <c r="A79" s="1991"/>
      <c r="B79" s="1911"/>
      <c r="C79" s="996" t="str">
        <f>F!C168</f>
        <v>5-30% of the water.</v>
      </c>
      <c r="D79" s="737">
        <f>F!D168</f>
        <v>0</v>
      </c>
      <c r="E79" s="779">
        <v>1</v>
      </c>
      <c r="F79" s="722">
        <f t="shared" si="5"/>
        <v>0</v>
      </c>
      <c r="G79" s="775"/>
      <c r="H79" s="1989"/>
      <c r="I79" s="2009"/>
    </row>
    <row r="80" spans="1:10" ht="15" customHeight="1" x14ac:dyDescent="0.2">
      <c r="A80" s="1991"/>
      <c r="B80" s="1911"/>
      <c r="C80" s="996" t="str">
        <f>F!C169</f>
        <v>30-70% of the water.</v>
      </c>
      <c r="D80" s="737">
        <f>F!D169</f>
        <v>0</v>
      </c>
      <c r="E80" s="779">
        <v>2</v>
      </c>
      <c r="F80" s="722">
        <f t="shared" si="5"/>
        <v>0</v>
      </c>
      <c r="G80" s="775"/>
      <c r="H80" s="1989"/>
      <c r="I80" s="2009"/>
    </row>
    <row r="81" spans="1:9" ht="15" customHeight="1" x14ac:dyDescent="0.2">
      <c r="A81" s="1991"/>
      <c r="B81" s="1911"/>
      <c r="C81" s="996" t="str">
        <f>F!C170</f>
        <v>70-99% of the water.</v>
      </c>
      <c r="D81" s="737">
        <f>F!D170</f>
        <v>0</v>
      </c>
      <c r="E81" s="779">
        <v>3</v>
      </c>
      <c r="F81" s="722">
        <f t="shared" si="5"/>
        <v>0</v>
      </c>
      <c r="G81" s="775"/>
      <c r="H81" s="1989"/>
      <c r="I81" s="2009"/>
    </row>
    <row r="82" spans="1:9" ht="15" customHeight="1" thickBot="1" x14ac:dyDescent="0.25">
      <c r="A82" s="1991"/>
      <c r="B82" s="1978"/>
      <c r="C82" s="329" t="str">
        <f>F!C171</f>
        <v>&gt;99% of the water.  Little or no visibly flowing water within the AA.</v>
      </c>
      <c r="D82" s="81">
        <f>F!D171</f>
        <v>0</v>
      </c>
      <c r="E82" s="263">
        <v>4</v>
      </c>
      <c r="F82" s="244">
        <f t="shared" si="5"/>
        <v>0</v>
      </c>
      <c r="G82" s="258"/>
      <c r="H82" s="1990"/>
      <c r="I82" s="2010"/>
    </row>
    <row r="83" spans="1:9" ht="39" thickBot="1" x14ac:dyDescent="0.25">
      <c r="A83" s="2080" t="str">
        <f>F!A173</f>
        <v>F33</v>
      </c>
      <c r="B83" s="2081" t="str">
        <f>F!B173</f>
        <v xml:space="preserve">% of Ponded Water That Is Open </v>
      </c>
      <c r="C83" s="1391" t="str">
        <f>F!C173</f>
        <v>In ducks-eye aerial view, the percentage of the ponded water that is open (lacking emergent vegetation during most of the growing season, and unhidden by a forest or shrub canopy) is:</v>
      </c>
      <c r="D83" s="736"/>
      <c r="E83" s="239"/>
      <c r="F83" s="259"/>
      <c r="G83" s="219">
        <f>IF((AllSat1&gt;0),"", IF((NoPonded=1),"", IF((SmallAA=1),"", MAX(F84:F89)/MAX(E84:E89))))</f>
        <v>0</v>
      </c>
      <c r="H83" s="1989" t="s">
        <v>795</v>
      </c>
      <c r="I83" s="1987" t="s">
        <v>1075</v>
      </c>
    </row>
    <row r="84" spans="1:9" ht="27" customHeight="1" x14ac:dyDescent="0.2">
      <c r="A84" s="2081"/>
      <c r="B84" s="2081"/>
      <c r="C84" s="995" t="str">
        <f>F!C174</f>
        <v>None, or &lt;1% of the AA and largest pool occupies &lt;0.01 hectares.  Enter "1" and SKIP to F41 (Floating Algae &amp; Duckweed).</v>
      </c>
      <c r="D84" s="303">
        <f>F!D174</f>
        <v>0</v>
      </c>
      <c r="E84" s="241">
        <v>5</v>
      </c>
      <c r="F84" s="241">
        <f t="shared" ref="F84:F89" si="6">D84*E84</f>
        <v>0</v>
      </c>
      <c r="G84" s="202"/>
      <c r="H84" s="1989"/>
      <c r="I84" s="1987"/>
    </row>
    <row r="85" spans="1:9" ht="15" customHeight="1" x14ac:dyDescent="0.2">
      <c r="A85" s="2081"/>
      <c r="B85" s="2081"/>
      <c r="C85" s="996" t="str">
        <f>F!C175</f>
        <v>1-5% of the ponded water.  Enter "1" and SKIP to F41.</v>
      </c>
      <c r="D85" s="92">
        <f>F!D175</f>
        <v>0</v>
      </c>
      <c r="E85" s="241">
        <v>4</v>
      </c>
      <c r="F85" s="241">
        <f t="shared" si="6"/>
        <v>0</v>
      </c>
      <c r="G85" s="257"/>
      <c r="H85" s="1989"/>
      <c r="I85" s="1987"/>
    </row>
    <row r="86" spans="1:9" ht="15" customHeight="1" x14ac:dyDescent="0.2">
      <c r="A86" s="2081"/>
      <c r="B86" s="2081"/>
      <c r="C86" s="996" t="str">
        <f>F!C176</f>
        <v>5-30% of the ponded water.</v>
      </c>
      <c r="D86" s="92">
        <f>F!D176</f>
        <v>0</v>
      </c>
      <c r="E86" s="241">
        <v>3</v>
      </c>
      <c r="F86" s="241">
        <f t="shared" si="6"/>
        <v>0</v>
      </c>
      <c r="G86" s="257"/>
      <c r="H86" s="1989"/>
      <c r="I86" s="1987"/>
    </row>
    <row r="87" spans="1:9" ht="15" customHeight="1" x14ac:dyDescent="0.2">
      <c r="A87" s="2081"/>
      <c r="B87" s="2081"/>
      <c r="C87" s="996" t="str">
        <f>F!C177</f>
        <v>30-70% of the ponded water.</v>
      </c>
      <c r="D87" s="92">
        <f>F!D177</f>
        <v>0</v>
      </c>
      <c r="E87" s="241">
        <v>2</v>
      </c>
      <c r="F87" s="241">
        <f t="shared" si="6"/>
        <v>0</v>
      </c>
      <c r="G87" s="257"/>
      <c r="H87" s="1989"/>
      <c r="I87" s="1987"/>
    </row>
    <row r="88" spans="1:9" ht="15" customHeight="1" x14ac:dyDescent="0.2">
      <c r="A88" s="2081"/>
      <c r="B88" s="2081"/>
      <c r="C88" s="996" t="str">
        <f>F!C178</f>
        <v>70-99% of the ponded water.</v>
      </c>
      <c r="D88" s="92">
        <f>F!D178</f>
        <v>0</v>
      </c>
      <c r="E88" s="241">
        <v>1</v>
      </c>
      <c r="F88" s="241">
        <f t="shared" si="6"/>
        <v>0</v>
      </c>
      <c r="G88" s="257"/>
      <c r="H88" s="1989"/>
      <c r="I88" s="1987"/>
    </row>
    <row r="89" spans="1:9" ht="15" customHeight="1" thickBot="1" x14ac:dyDescent="0.25">
      <c r="A89" s="2082"/>
      <c r="B89" s="2082"/>
      <c r="C89" s="329" t="str">
        <f>F!C179</f>
        <v xml:space="preserve">100% of the ponded water. </v>
      </c>
      <c r="D89" s="102">
        <f>F!D179</f>
        <v>0</v>
      </c>
      <c r="E89" s="244">
        <v>0</v>
      </c>
      <c r="F89" s="244">
        <f t="shared" si="6"/>
        <v>0</v>
      </c>
      <c r="G89" s="258"/>
      <c r="H89" s="1990"/>
      <c r="I89" s="1988"/>
    </row>
    <row r="90" spans="1:9" ht="39.75" customHeight="1" thickBot="1" x14ac:dyDescent="0.25">
      <c r="A90" s="2078" t="str">
        <f>F!A180</f>
        <v>F34</v>
      </c>
      <c r="B90" s="2080" t="str">
        <f>F!B180</f>
        <v>Predominant Width of Vegetated Zone within Wetland</v>
      </c>
      <c r="C90" s="104" t="str">
        <f>F!C180</f>
        <v>At the time during the growing season when the AA's water level is lowest, the average width of vegetated area in the AA that separates adjoining uplands from open water within the AA is:</v>
      </c>
      <c r="D90" s="372"/>
      <c r="E90" s="376"/>
      <c r="F90" s="262"/>
      <c r="G90" s="225" t="str">
        <f>IF((AllSat1&gt;0),"", IF((OpenW=0),"", IF((SmallAA=1),"", MAX(F91:F96)/MAX(E91:E96))))</f>
        <v/>
      </c>
      <c r="H90" s="2000" t="s">
        <v>1086</v>
      </c>
      <c r="I90" s="2124" t="s">
        <v>1073</v>
      </c>
    </row>
    <row r="91" spans="1:9" ht="21" customHeight="1" x14ac:dyDescent="0.2">
      <c r="A91" s="2039"/>
      <c r="B91" s="2081"/>
      <c r="C91" s="1392" t="str">
        <f>F!C181</f>
        <v>&lt;1 m</v>
      </c>
      <c r="D91" s="434">
        <f>F!D181</f>
        <v>0</v>
      </c>
      <c r="E91" s="377">
        <v>0</v>
      </c>
      <c r="F91" s="377">
        <f t="shared" ref="F91:F96" si="7">D91*E91</f>
        <v>0</v>
      </c>
      <c r="G91" s="202"/>
      <c r="H91" s="1989"/>
      <c r="I91" s="2014"/>
    </row>
    <row r="92" spans="1:9" ht="21" customHeight="1" x14ac:dyDescent="0.2">
      <c r="A92" s="2039"/>
      <c r="B92" s="2081"/>
      <c r="C92" s="780" t="str">
        <f>F!C182</f>
        <v>1 - 9 m</v>
      </c>
      <c r="D92" s="434">
        <f>F!D182</f>
        <v>0</v>
      </c>
      <c r="E92" s="377">
        <v>1</v>
      </c>
      <c r="F92" s="377">
        <f t="shared" si="7"/>
        <v>0</v>
      </c>
      <c r="G92" s="257"/>
      <c r="H92" s="1989"/>
      <c r="I92" s="2014"/>
    </row>
    <row r="93" spans="1:9" ht="21" customHeight="1" x14ac:dyDescent="0.2">
      <c r="A93" s="2039"/>
      <c r="B93" s="2081"/>
      <c r="C93" s="780" t="str">
        <f>F!C183</f>
        <v>10 - 29 m</v>
      </c>
      <c r="D93" s="434">
        <f>F!D183</f>
        <v>0</v>
      </c>
      <c r="E93" s="377">
        <v>2</v>
      </c>
      <c r="F93" s="377">
        <f t="shared" si="7"/>
        <v>0</v>
      </c>
      <c r="G93" s="257"/>
      <c r="H93" s="1989"/>
      <c r="I93" s="2014"/>
    </row>
    <row r="94" spans="1:9" ht="21" customHeight="1" x14ac:dyDescent="0.2">
      <c r="A94" s="2039"/>
      <c r="B94" s="2081"/>
      <c r="C94" s="780" t="str">
        <f>F!C184</f>
        <v>30 - 49 m</v>
      </c>
      <c r="D94" s="434">
        <f>F!D184</f>
        <v>0</v>
      </c>
      <c r="E94" s="377">
        <v>3</v>
      </c>
      <c r="F94" s="377">
        <f t="shared" si="7"/>
        <v>0</v>
      </c>
      <c r="G94" s="257"/>
      <c r="H94" s="1989"/>
      <c r="I94" s="2014"/>
    </row>
    <row r="95" spans="1:9" ht="21" customHeight="1" x14ac:dyDescent="0.2">
      <c r="A95" s="2039"/>
      <c r="B95" s="2081"/>
      <c r="C95" s="780" t="str">
        <f>F!C185</f>
        <v>50 - 100 m</v>
      </c>
      <c r="D95" s="434">
        <f>F!D185</f>
        <v>0</v>
      </c>
      <c r="E95" s="380">
        <v>4</v>
      </c>
      <c r="F95" s="380">
        <f t="shared" si="7"/>
        <v>0</v>
      </c>
      <c r="G95" s="721"/>
      <c r="H95" s="1989"/>
      <c r="I95" s="2127"/>
    </row>
    <row r="96" spans="1:9" ht="30.75" customHeight="1" thickBot="1" x14ac:dyDescent="0.25">
      <c r="A96" s="2079"/>
      <c r="B96" s="2082"/>
      <c r="C96" s="329" t="str">
        <f>F!C186</f>
        <v>&gt; 100 m</v>
      </c>
      <c r="D96" s="102">
        <f>F!D186</f>
        <v>0</v>
      </c>
      <c r="E96" s="244">
        <v>5</v>
      </c>
      <c r="F96" s="244">
        <f t="shared" si="7"/>
        <v>0</v>
      </c>
      <c r="G96" s="258"/>
      <c r="H96" s="1990"/>
      <c r="I96" s="2015"/>
    </row>
    <row r="97" spans="1:10" ht="30" customHeight="1" thickBot="1" x14ac:dyDescent="0.25">
      <c r="A97" s="1979" t="str">
        <f>F!A199</f>
        <v>F37</v>
      </c>
      <c r="B97" s="1984" t="str">
        <f>F!B199</f>
        <v>Interspersion of Robust Emergents &amp; Open Water</v>
      </c>
      <c r="C97" s="421" t="str">
        <f>F!C199</f>
        <v>During most of the part of the growing season when water is present, the spatial pattern of robust herbaceous vegetation (e.g., cattail, tall bulrush, buckbean) is mostly:</v>
      </c>
      <c r="D97" s="233"/>
      <c r="E97" s="243"/>
      <c r="F97" s="262"/>
      <c r="G97" s="225">
        <f>IF((AllSat1&gt;0),"", IF((NoPonded=1),"", IF((NoOpenPonded+ NoOpenPonded1&gt;0),"", IF((AllOpenPond=1),"", IF((SmallAA=1),"", MAX(F98:F100)/MAX(E98:E100))))))</f>
        <v>0</v>
      </c>
      <c r="H97" s="2000" t="s">
        <v>224</v>
      </c>
      <c r="I97" s="2120" t="s">
        <v>1076</v>
      </c>
    </row>
    <row r="98" spans="1:10" ht="27" customHeight="1" x14ac:dyDescent="0.2">
      <c r="A98" s="1991"/>
      <c r="B98" s="1911"/>
      <c r="C98" s="768" t="str">
        <f>F!C200</f>
        <v>Scattered.  More than 30% of such vegetation forms small islands or corridors surrounded by water.</v>
      </c>
      <c r="D98" s="493">
        <f>F!D200</f>
        <v>0</v>
      </c>
      <c r="E98" s="241">
        <v>3</v>
      </c>
      <c r="F98" s="241">
        <f>D98*E98</f>
        <v>0</v>
      </c>
      <c r="G98" s="265"/>
      <c r="H98" s="1989"/>
      <c r="I98" s="1987"/>
    </row>
    <row r="99" spans="1:10" ht="15" customHeight="1" x14ac:dyDescent="0.2">
      <c r="A99" s="1991"/>
      <c r="B99" s="1911"/>
      <c r="C99" s="768" t="str">
        <f>F!C201</f>
        <v>Intermediate.</v>
      </c>
      <c r="D99" s="493">
        <f>F!D201</f>
        <v>0</v>
      </c>
      <c r="E99" s="241">
        <v>2</v>
      </c>
      <c r="F99" s="241">
        <f>D99*E99</f>
        <v>0</v>
      </c>
      <c r="G99" s="265"/>
      <c r="H99" s="1989"/>
      <c r="I99" s="1987"/>
    </row>
    <row r="100" spans="1:10" ht="32.25" customHeight="1" thickBot="1" x14ac:dyDescent="0.25">
      <c r="A100" s="1991"/>
      <c r="B100" s="1911"/>
      <c r="C100" s="768" t="str">
        <f>F!C202</f>
        <v>Clumped. More than 70% of such vegetation is in bands along the wetland perimeter or is clumped at one or a few sides of the surface water area.</v>
      </c>
      <c r="D100" s="493">
        <f>F!D202</f>
        <v>0</v>
      </c>
      <c r="E100" s="380">
        <v>1</v>
      </c>
      <c r="F100" s="380">
        <f>D100*E100</f>
        <v>0</v>
      </c>
      <c r="G100" s="436"/>
      <c r="H100" s="1990"/>
      <c r="I100" s="1987"/>
    </row>
    <row r="101" spans="1:10" ht="30" customHeight="1" thickBot="1" x14ac:dyDescent="0.25">
      <c r="A101" s="2036" t="str">
        <f>F!A227</f>
        <v>F47</v>
      </c>
      <c r="B101" s="2000" t="str">
        <f>F!B227</f>
        <v>Through Flow Pattern</v>
      </c>
      <c r="C101" s="104" t="str">
        <f>F!C227</f>
        <v>During its travel through the AA at the time of peak annual flow, water arriving in channels: [select only the ONE encountered by most of the incoming water].</v>
      </c>
      <c r="D101" s="372"/>
      <c r="E101" s="376"/>
      <c r="F101" s="262"/>
      <c r="G101" s="225" t="str">
        <f>IF((AllSat1=1),"", IF((Inflows=0),"",MAX(F102:F106)/MAX(E102:E106)))</f>
        <v/>
      </c>
      <c r="H101" s="2000" t="s">
        <v>829</v>
      </c>
      <c r="I101" s="2120" t="s">
        <v>1077</v>
      </c>
    </row>
    <row r="102" spans="1:10" ht="45" customHeight="1" x14ac:dyDescent="0.2">
      <c r="A102" s="2035"/>
      <c r="B102" s="1989"/>
      <c r="C102" s="827" t="str">
        <f>F!C228</f>
        <v>Does not bump into plant stems as it travels through the AA.  Nearly all the water continues to travel in unvegetated (often incised) channels that have minimal contact with wetland vegetation, or through a zone of open water such as an instream pond or lake.</v>
      </c>
      <c r="D102" s="431">
        <f>F!D228</f>
        <v>0</v>
      </c>
      <c r="E102" s="377">
        <v>0</v>
      </c>
      <c r="F102" s="377">
        <f>D102*E102</f>
        <v>0</v>
      </c>
      <c r="G102" s="202"/>
      <c r="H102" s="1989"/>
      <c r="I102" s="1987"/>
    </row>
    <row r="103" spans="1:10" s="1" customFormat="1" ht="15" customHeight="1" x14ac:dyDescent="0.2">
      <c r="A103" s="2035"/>
      <c r="B103" s="1989"/>
      <c r="C103" s="941" t="str">
        <f>F!C229</f>
        <v>bumps into herbaceous vegetation but mostly remains in fairly straight channels.</v>
      </c>
      <c r="D103" s="431">
        <f>F!D229</f>
        <v>0</v>
      </c>
      <c r="E103" s="377">
        <v>1</v>
      </c>
      <c r="F103" s="377">
        <f>D103*E103</f>
        <v>0</v>
      </c>
      <c r="G103" s="257"/>
      <c r="H103" s="1989"/>
      <c r="I103" s="1987"/>
      <c r="J103" s="574"/>
    </row>
    <row r="104" spans="1:10" s="1" customFormat="1" ht="27" customHeight="1" x14ac:dyDescent="0.2">
      <c r="A104" s="2035"/>
      <c r="B104" s="1989"/>
      <c r="C104" s="941" t="str">
        <f>F!C230</f>
        <v>bumps into herbaceous vegetation and mostly spreads throughout, or is in widely  meandering, multi-branched, or braided channels.</v>
      </c>
      <c r="D104" s="431">
        <f>F!D230</f>
        <v>0</v>
      </c>
      <c r="E104" s="377">
        <v>2</v>
      </c>
      <c r="F104" s="377">
        <f>D104*E104</f>
        <v>0</v>
      </c>
      <c r="G104" s="257"/>
      <c r="H104" s="1989"/>
      <c r="I104" s="1987"/>
      <c r="J104" s="574"/>
    </row>
    <row r="105" spans="1:10" s="1" customFormat="1" ht="15" customHeight="1" x14ac:dyDescent="0.2">
      <c r="A105" s="2035"/>
      <c r="B105" s="1989"/>
      <c r="C105" s="941" t="str">
        <f>F!C231</f>
        <v>bumps into tree trunks and/or shrub stems but mostly remains in fairly straight channels.</v>
      </c>
      <c r="D105" s="431">
        <f>F!D231</f>
        <v>0</v>
      </c>
      <c r="E105" s="377">
        <v>3</v>
      </c>
      <c r="F105" s="377">
        <f>D105*E105</f>
        <v>0</v>
      </c>
      <c r="G105" s="257"/>
      <c r="H105" s="1989"/>
      <c r="I105" s="1987"/>
      <c r="J105" s="574"/>
    </row>
    <row r="106" spans="1:10" s="1" customFormat="1" ht="26.25" customHeight="1" thickBot="1" x14ac:dyDescent="0.25">
      <c r="A106" s="2037"/>
      <c r="B106" s="1990"/>
      <c r="C106" s="1027" t="str">
        <f>F!C232</f>
        <v>bumps into tree trunks and/or shrub stems and follows a fairly indirect path from entrance to exit (meandering, multi-branched, or braided).</v>
      </c>
      <c r="D106" s="102">
        <f>F!D232</f>
        <v>0</v>
      </c>
      <c r="E106" s="244">
        <v>4</v>
      </c>
      <c r="F106" s="244">
        <f>D106*E106</f>
        <v>0</v>
      </c>
      <c r="G106" s="258"/>
      <c r="H106" s="1990"/>
      <c r="I106" s="1988"/>
      <c r="J106" s="574"/>
    </row>
    <row r="107" spans="1:10" ht="77.25" thickBot="1" x14ac:dyDescent="0.25">
      <c r="A107" s="2035" t="str">
        <f>F!A233</f>
        <v>F48</v>
      </c>
      <c r="B107" s="1989" t="str">
        <f>F!B233</f>
        <v>Channel Connection &amp; Outflow Duration</v>
      </c>
      <c r="C107" s="1391" t="str">
        <f>F!C233</f>
        <v>The most persistent surface water connection (outlet channel or pipe, ditch, or overbank water exchange) between the AA and the closest larger water body located downslope is: [Note: If the AA represents only part of a wetland, answer this according to whichever is the least permanent surface connection: the one between the AA and the rest of the wetland, or the surface connection between the wetland and a mapped stream or lake located within 200 m downslope from the wetland ]</v>
      </c>
      <c r="D107" s="437"/>
      <c r="E107" s="239"/>
      <c r="F107" s="259"/>
      <c r="G107" s="219">
        <f>IF((AllSat1&gt;0),"", MAX(F108:F112)/MAX(E108:E112))</f>
        <v>0</v>
      </c>
      <c r="H107" s="1989" t="s">
        <v>226</v>
      </c>
      <c r="I107" s="1987" t="s">
        <v>1078</v>
      </c>
    </row>
    <row r="108" spans="1:10" ht="15" customHeight="1" x14ac:dyDescent="0.2">
      <c r="A108" s="2035"/>
      <c r="B108" s="1989"/>
      <c r="C108" s="995" t="str">
        <f>F!C234</f>
        <v>persistent (&gt;9 months/year, including times when frozen).</v>
      </c>
      <c r="D108" s="92">
        <f>F!D234</f>
        <v>0</v>
      </c>
      <c r="E108" s="241">
        <v>1</v>
      </c>
      <c r="F108" s="241">
        <f>D108*E108</f>
        <v>0</v>
      </c>
      <c r="G108" s="202"/>
      <c r="H108" s="1989"/>
      <c r="I108" s="1987"/>
    </row>
    <row r="109" spans="1:10" ht="25.5" x14ac:dyDescent="0.2">
      <c r="A109" s="2035"/>
      <c r="B109" s="1989"/>
      <c r="C109" s="996" t="str">
        <f>F!C235</f>
        <v>seasonal (14 days to 9 months/year, not necessarily consecutive, including times when frozen).</v>
      </c>
      <c r="D109" s="92">
        <f>F!D235</f>
        <v>0</v>
      </c>
      <c r="E109" s="241">
        <v>2</v>
      </c>
      <c r="F109" s="241">
        <f>D109*E109</f>
        <v>0</v>
      </c>
      <c r="G109" s="257"/>
      <c r="H109" s="1989"/>
      <c r="I109" s="1987"/>
    </row>
    <row r="110" spans="1:10" ht="14.45" customHeight="1" x14ac:dyDescent="0.2">
      <c r="A110" s="2035"/>
      <c r="B110" s="1989"/>
      <c r="C110" s="996" t="str">
        <f>F!C236</f>
        <v>temporary (&lt;14 days, not necessarily consecutive, but must be unfrozen).</v>
      </c>
      <c r="D110" s="190">
        <f>F!D236</f>
        <v>0</v>
      </c>
      <c r="E110" s="241">
        <v>3</v>
      </c>
      <c r="F110" s="241">
        <f>D110*E110</f>
        <v>0</v>
      </c>
      <c r="G110" s="257"/>
      <c r="H110" s="1989"/>
      <c r="I110" s="1987"/>
    </row>
    <row r="111" spans="1:10" ht="38.25" x14ac:dyDescent="0.2">
      <c r="A111" s="2035"/>
      <c r="B111" s="1989"/>
      <c r="C111" s="996" t="str">
        <f>F!C237</f>
        <v xml:space="preserve">none -- but maps show a stream or other water body that is downslope from the AA and within a distance that is less than the AA's length.  If so, mark "1" here and SKIP TO F50 (Groundwater). </v>
      </c>
      <c r="D111" s="92">
        <f>F!D237</f>
        <v>0</v>
      </c>
      <c r="E111" s="245">
        <v>6</v>
      </c>
      <c r="F111" s="241">
        <f>D111*E111</f>
        <v>0</v>
      </c>
      <c r="G111" s="433"/>
      <c r="H111" s="1989"/>
      <c r="I111" s="1987"/>
    </row>
    <row r="112" spans="1:10" ht="42" customHeight="1" thickBot="1" x14ac:dyDescent="0.25">
      <c r="A112" s="2035"/>
      <c r="B112" s="1989"/>
      <c r="C112" s="780" t="str">
        <f>F!C238</f>
        <v xml:space="preserve">no surface water flows out of the wetland except possibly during extreme events (&lt;once per 10 years). Or, water flows only into a wetland, ditch, or lake that lacks an outlet.  If so, mark "1" here and SKIP TO F50 (Groundwater). </v>
      </c>
      <c r="D112" s="190">
        <f>F!D238</f>
        <v>0</v>
      </c>
      <c r="E112" s="248">
        <v>6</v>
      </c>
      <c r="F112" s="242">
        <f>D112*E112</f>
        <v>0</v>
      </c>
      <c r="G112" s="433"/>
      <c r="H112" s="1990"/>
      <c r="I112" s="1987"/>
    </row>
    <row r="113" spans="1:11" ht="30" customHeight="1" thickBot="1" x14ac:dyDescent="0.25">
      <c r="A113" s="2078" t="str">
        <f>F!A239</f>
        <v>F49</v>
      </c>
      <c r="B113" s="2000" t="str">
        <f>F!B239</f>
        <v>Outflow Confinement</v>
      </c>
      <c r="C113" s="104" t="str">
        <f>F!C239</f>
        <v>During major runoff events, in the places where surface water exits the AA or connected waters nearby, it:</v>
      </c>
      <c r="D113" s="372"/>
      <c r="E113" s="376"/>
      <c r="F113" s="262"/>
      <c r="G113" s="225">
        <f>IF((OutNone=1),"",MAX(F114:F116)/MAX(E114:E116))</f>
        <v>0</v>
      </c>
      <c r="H113" s="2000" t="s">
        <v>227</v>
      </c>
      <c r="I113" s="2120" t="s">
        <v>1079</v>
      </c>
    </row>
    <row r="114" spans="1:11" ht="42" customHeight="1" x14ac:dyDescent="0.2">
      <c r="A114" s="2035"/>
      <c r="B114" s="1989"/>
      <c r="C114" s="995" t="str">
        <f>F!C240</f>
        <v>mostly passes through a pipe, culvert, narrowly breached dike, berm, beaver dam, or other partial obstruction (other than natural topography) that does not appear to drain the wetland artificially during most of the growing season.</v>
      </c>
      <c r="D114" s="303">
        <f>F!D240</f>
        <v>0</v>
      </c>
      <c r="E114" s="377">
        <v>2</v>
      </c>
      <c r="F114" s="377">
        <f>D114*E114</f>
        <v>0</v>
      </c>
      <c r="G114" s="202"/>
      <c r="H114" s="1989"/>
      <c r="I114" s="1987"/>
    </row>
    <row r="115" spans="1:11" ht="27.75" customHeight="1" x14ac:dyDescent="0.2">
      <c r="A115" s="2035"/>
      <c r="B115" s="1989"/>
      <c r="C115" s="996" t="str">
        <f>F!C241</f>
        <v>leaves through natural exits (channels or diffuse outflow), not mainly through artificial or temporary features.</v>
      </c>
      <c r="D115" s="431">
        <f>F!D241</f>
        <v>0</v>
      </c>
      <c r="E115" s="377">
        <v>1</v>
      </c>
      <c r="F115" s="377">
        <f>D115*E115</f>
        <v>0</v>
      </c>
      <c r="G115" s="267"/>
      <c r="H115" s="1989"/>
      <c r="I115" s="1987"/>
    </row>
    <row r="116" spans="1:11" ht="39" thickBot="1" x14ac:dyDescent="0.25">
      <c r="A116" s="2037"/>
      <c r="B116" s="1990"/>
      <c r="C116" s="329" t="str">
        <f>F!C242</f>
        <v>is exported more quickly than usual due to ditches or pipes within the AA (or connected to its outlet or within 10 m of the AA's edge) which drain the wetland artificially, or water is pumped out of the AA.</v>
      </c>
      <c r="D116" s="102">
        <f>F!D242</f>
        <v>0</v>
      </c>
      <c r="E116" s="244">
        <v>0</v>
      </c>
      <c r="F116" s="244">
        <f>D116*E116</f>
        <v>0</v>
      </c>
      <c r="G116" s="258"/>
      <c r="H116" s="1990"/>
      <c r="I116" s="1988"/>
    </row>
    <row r="117" spans="1:11" ht="21" customHeight="1" thickBot="1" x14ac:dyDescent="0.25">
      <c r="A117" s="1991" t="str">
        <f>F!A243</f>
        <v>F50</v>
      </c>
      <c r="B117" s="1911" t="str">
        <f>F!B243</f>
        <v>Groundwater: Strength of Evidence</v>
      </c>
      <c r="C117" s="877" t="str">
        <f>F!C243</f>
        <v xml:space="preserve">Select first applicable choice. </v>
      </c>
      <c r="D117" s="238"/>
      <c r="E117" s="239"/>
      <c r="F117" s="259"/>
      <c r="G117" s="219">
        <f>IF((D120=1),"",MAX(F118:F120)/MAX(E118:E120))</f>
        <v>0</v>
      </c>
      <c r="H117" s="2000" t="s">
        <v>225</v>
      </c>
      <c r="I117" s="1987" t="s">
        <v>1080</v>
      </c>
      <c r="K117" s="1325"/>
    </row>
    <row r="118" spans="1:11" ht="59.25" customHeight="1" x14ac:dyDescent="0.2">
      <c r="A118" s="1991"/>
      <c r="B118" s="1911"/>
      <c r="C118" s="360" t="str">
        <f>F!C244</f>
        <v xml:space="preserve">Springs are known to be present within the AA, or if groundwater levels have been monitored, that has demonstrated that groundwater primarily discharges to the wetland for longer periods during the year than periods when the wetland recharges the groundwater. 
</v>
      </c>
      <c r="D118" s="304">
        <f>F!D244</f>
        <v>0</v>
      </c>
      <c r="E118" s="241">
        <v>3</v>
      </c>
      <c r="F118" s="241">
        <f>D118*E118</f>
        <v>0</v>
      </c>
      <c r="G118" s="202"/>
      <c r="H118" s="1989"/>
      <c r="I118" s="1987"/>
    </row>
    <row r="119" spans="1:11" ht="84" customHeight="1" x14ac:dyDescent="0.2">
      <c r="A119" s="1991"/>
      <c r="B119" s="1911"/>
      <c r="C119" s="747" t="str">
        <f>F!C245</f>
        <v xml:space="preserve">If surface water is present, its pH (Q44) is &gt;5.5 AND one or more of the following are true: (a) the AA is located very close to the base of (but mostly not ON) a natural slope much steeper (usually &gt;15%) than that within the AA and longer than 100 m, OR
(b) rust deposits ("iron floc"), colored precipitates, or dispersible natural oil sheen are prevalent in the AA, OR
(c) AA is located at a geologic fault.
</v>
      </c>
      <c r="D119" s="247">
        <f>F!D245</f>
        <v>0</v>
      </c>
      <c r="E119" s="241">
        <v>2</v>
      </c>
      <c r="F119" s="241">
        <f>D119*E119</f>
        <v>0</v>
      </c>
      <c r="G119" s="257"/>
      <c r="H119" s="1989"/>
      <c r="I119" s="1987"/>
    </row>
    <row r="120" spans="1:11" ht="27" customHeight="1" thickBot="1" x14ac:dyDescent="0.25">
      <c r="A120" s="1991"/>
      <c r="B120" s="1911"/>
      <c r="C120" s="747" t="str">
        <f>F!C246</f>
        <v>Neither of above is true, although some groundwater may discharge to or flow through the AA.  Or groundwater influx is unknown.</v>
      </c>
      <c r="D120" s="247">
        <f>F!D246</f>
        <v>0</v>
      </c>
      <c r="E120" s="242">
        <v>0</v>
      </c>
      <c r="F120" s="242">
        <f>D120*E120</f>
        <v>0</v>
      </c>
      <c r="G120" s="433"/>
      <c r="H120" s="1990"/>
      <c r="I120" s="1987"/>
    </row>
    <row r="121" spans="1:11" ht="21" customHeight="1" thickBot="1" x14ac:dyDescent="0.25">
      <c r="A121" s="2103" t="str">
        <f>F!A247</f>
        <v>F51</v>
      </c>
      <c r="B121" s="2027" t="str">
        <f>F!B247</f>
        <v>Internal Gradient</v>
      </c>
      <c r="C121" s="104" t="str">
        <f>F!C247</f>
        <v>The gradient along most of the flow path within the AA is:</v>
      </c>
      <c r="D121" s="372"/>
      <c r="E121" s="376"/>
      <c r="F121" s="262"/>
      <c r="G121" s="225">
        <f>MAX(F122:F125)/MAX(E122:E125)</f>
        <v>0</v>
      </c>
      <c r="H121" s="2000" t="s">
        <v>232</v>
      </c>
      <c r="I121" s="2120" t="s">
        <v>272</v>
      </c>
    </row>
    <row r="122" spans="1:11" ht="27" customHeight="1" x14ac:dyDescent="0.2">
      <c r="A122" s="2104"/>
      <c r="B122" s="2028"/>
      <c r="C122" s="995" t="str">
        <f>F!C248</f>
        <v>&lt;2%, or, no slope is ever apparent (i.e., flat). Or, the wetland is in a depression or pond with no inlet and no outlet.</v>
      </c>
      <c r="D122" s="303">
        <f>F!D248</f>
        <v>0</v>
      </c>
      <c r="E122" s="377">
        <v>4</v>
      </c>
      <c r="F122" s="377">
        <f>D122*E122</f>
        <v>0</v>
      </c>
      <c r="G122" s="202"/>
      <c r="H122" s="1989"/>
      <c r="I122" s="2118"/>
    </row>
    <row r="123" spans="1:11" ht="15" customHeight="1" x14ac:dyDescent="0.2">
      <c r="A123" s="2104"/>
      <c r="B123" s="2028"/>
      <c r="C123" s="995" t="str">
        <f>F!C249</f>
        <v>2-5%</v>
      </c>
      <c r="D123" s="431">
        <f>F!D249</f>
        <v>0</v>
      </c>
      <c r="E123" s="377">
        <v>2</v>
      </c>
      <c r="F123" s="377">
        <f>D123*E123</f>
        <v>0</v>
      </c>
      <c r="G123" s="257"/>
      <c r="H123" s="1989"/>
      <c r="I123" s="2118"/>
    </row>
    <row r="124" spans="1:11" ht="15" customHeight="1" x14ac:dyDescent="0.2">
      <c r="A124" s="2104"/>
      <c r="B124" s="2028"/>
      <c r="C124" s="995" t="str">
        <f>F!C250</f>
        <v>6-10%</v>
      </c>
      <c r="D124" s="431">
        <f>F!D250</f>
        <v>0</v>
      </c>
      <c r="E124" s="377">
        <v>1</v>
      </c>
      <c r="F124" s="377">
        <f>D124*E124</f>
        <v>0</v>
      </c>
      <c r="G124" s="257"/>
      <c r="H124" s="1989"/>
      <c r="I124" s="2118"/>
    </row>
    <row r="125" spans="1:11" ht="15" customHeight="1" thickBot="1" x14ac:dyDescent="0.25">
      <c r="A125" s="2105"/>
      <c r="B125" s="2029"/>
      <c r="C125" s="390" t="str">
        <f>F!C251</f>
        <v>&gt;10%</v>
      </c>
      <c r="D125" s="102">
        <f>F!D251</f>
        <v>0</v>
      </c>
      <c r="E125" s="244">
        <v>0</v>
      </c>
      <c r="F125" s="244">
        <f>D125*E125</f>
        <v>0</v>
      </c>
      <c r="G125" s="258"/>
      <c r="H125" s="1990"/>
      <c r="I125" s="2119"/>
    </row>
    <row r="126" spans="1:11" ht="39.75" customHeight="1" thickBot="1" x14ac:dyDescent="0.25">
      <c r="A126" s="2121" t="str">
        <f>F!A262</f>
        <v>F55</v>
      </c>
      <c r="B126" s="2067" t="str">
        <f>F!B262</f>
        <v>New or Expanded Wetland</v>
      </c>
      <c r="C126" s="427" t="str">
        <f>F!C262</f>
        <v>Part or all of the AA resulted from human actions that persistently expanded a naturally occurring wetland or created a wetland where there previously was none (e.g., by excavation, impoundment):</v>
      </c>
      <c r="D126" s="282"/>
      <c r="E126" s="256"/>
      <c r="F126" s="268"/>
      <c r="G126" s="225">
        <f>IF((D132=1),"",MAX(F127:F131)/MAX(E127:E131))</f>
        <v>0</v>
      </c>
      <c r="H126" s="2000" t="s">
        <v>233</v>
      </c>
      <c r="I126" s="2117" t="s">
        <v>1347</v>
      </c>
    </row>
    <row r="127" spans="1:11" ht="15" customHeight="1" x14ac:dyDescent="0.2">
      <c r="A127" s="2122"/>
      <c r="B127" s="2068"/>
      <c r="C127" s="428" t="str">
        <f>F!C263</f>
        <v>No</v>
      </c>
      <c r="D127" s="431">
        <f>F!D263</f>
        <v>0</v>
      </c>
      <c r="E127" s="380">
        <v>5</v>
      </c>
      <c r="F127" s="377">
        <f>D127*E127</f>
        <v>0</v>
      </c>
      <c r="G127" s="267"/>
      <c r="H127" s="1989"/>
      <c r="I127" s="2118"/>
    </row>
    <row r="128" spans="1:11" ht="15" customHeight="1" x14ac:dyDescent="0.2">
      <c r="A128" s="2122"/>
      <c r="B128" s="2068"/>
      <c r="C128" s="719" t="str">
        <f>F!C264</f>
        <v>yes, and created or expanded 20 - 100 years ago .</v>
      </c>
      <c r="D128" s="434">
        <f>F!D264</f>
        <v>0</v>
      </c>
      <c r="E128" s="380">
        <v>2</v>
      </c>
      <c r="F128" s="377">
        <f>D128*E128</f>
        <v>0</v>
      </c>
      <c r="G128" s="433"/>
      <c r="H128" s="1989"/>
      <c r="I128" s="2118"/>
    </row>
    <row r="129" spans="1:11" ht="15" customHeight="1" x14ac:dyDescent="0.2">
      <c r="A129" s="2122"/>
      <c r="B129" s="2068"/>
      <c r="C129" s="719" t="str">
        <f>F!C265</f>
        <v>yes, and created or expanded 3-20 years ago.</v>
      </c>
      <c r="D129" s="434">
        <f>F!D265</f>
        <v>0</v>
      </c>
      <c r="E129" s="380">
        <v>1</v>
      </c>
      <c r="F129" s="377">
        <f>D129*E129</f>
        <v>0</v>
      </c>
      <c r="G129" s="433"/>
      <c r="H129" s="1989"/>
      <c r="I129" s="2118"/>
    </row>
    <row r="130" spans="1:11" ht="15" customHeight="1" x14ac:dyDescent="0.2">
      <c r="A130" s="2122"/>
      <c r="B130" s="2068"/>
      <c r="C130" s="719" t="str">
        <f>F!C266</f>
        <v>yes, and created or expanded within last 3 years.</v>
      </c>
      <c r="D130" s="434">
        <f>F!D266</f>
        <v>0</v>
      </c>
      <c r="E130" s="380">
        <v>0</v>
      </c>
      <c r="F130" s="377">
        <f>D130*E130</f>
        <v>0</v>
      </c>
      <c r="G130" s="433"/>
      <c r="H130" s="1989"/>
      <c r="I130" s="2118"/>
    </row>
    <row r="131" spans="1:11" ht="15" customHeight="1" x14ac:dyDescent="0.2">
      <c r="A131" s="2122"/>
      <c r="B131" s="2068"/>
      <c r="C131" s="719" t="str">
        <f>F!C267</f>
        <v>yes, but time of origin unknown.</v>
      </c>
      <c r="D131" s="434">
        <f>F!D267</f>
        <v>0</v>
      </c>
      <c r="E131" s="380">
        <v>1</v>
      </c>
      <c r="F131" s="377">
        <f>D131*E131</f>
        <v>0</v>
      </c>
      <c r="G131" s="433"/>
      <c r="H131" s="1989"/>
      <c r="I131" s="2118"/>
    </row>
    <row r="132" spans="1:11" ht="15" customHeight="1" thickBot="1" x14ac:dyDescent="0.25">
      <c r="A132" s="2123"/>
      <c r="B132" s="2069"/>
      <c r="C132" s="438" t="str">
        <f>F!C268</f>
        <v>unknown if new or expanded within 20 years or not.</v>
      </c>
      <c r="D132" s="102">
        <f>F!D268</f>
        <v>0</v>
      </c>
      <c r="E132" s="244"/>
      <c r="F132" s="244"/>
      <c r="G132" s="258"/>
      <c r="H132" s="1990"/>
      <c r="I132" s="2119"/>
    </row>
    <row r="133" spans="1:11" ht="58.5" customHeight="1" thickBot="1" x14ac:dyDescent="0.25">
      <c r="A133" s="769" t="str">
        <f>S!A71</f>
        <v>S5</v>
      </c>
      <c r="B133" s="769" t="str">
        <f>S!B71</f>
        <v>Soil or Sediment Alteration Within the Assessment Area</v>
      </c>
      <c r="C133" s="99" t="str">
        <f>S!E88</f>
        <v>Stressor Subscore=</v>
      </c>
      <c r="D133" s="1022">
        <f>S!F88</f>
        <v>0</v>
      </c>
      <c r="E133" s="269"/>
      <c r="F133" s="270"/>
      <c r="G133" s="225" t="str">
        <f>IF((D133=0),"",1-(D133/5))</f>
        <v/>
      </c>
      <c r="H133" s="77" t="s">
        <v>1087</v>
      </c>
      <c r="I133" s="131" t="s">
        <v>268</v>
      </c>
    </row>
    <row r="134" spans="1:11" ht="21" customHeight="1" thickBot="1" x14ac:dyDescent="0.25">
      <c r="A134" s="827"/>
      <c r="B134" s="827"/>
      <c r="C134" s="99"/>
      <c r="D134" s="827"/>
      <c r="E134" s="827"/>
      <c r="F134" s="827"/>
      <c r="G134" s="827"/>
      <c r="H134" s="592"/>
      <c r="I134" s="592"/>
    </row>
    <row r="135" spans="1:11" ht="21" customHeight="1" thickBot="1" x14ac:dyDescent="0.25">
      <c r="A135" s="5"/>
      <c r="B135" s="940"/>
      <c r="C135" s="391" t="s">
        <v>722</v>
      </c>
      <c r="D135" s="1027"/>
      <c r="E135" s="1027"/>
      <c r="F135" s="1027"/>
      <c r="G135" s="1027"/>
      <c r="H135" s="115"/>
      <c r="I135" s="115"/>
    </row>
    <row r="136" spans="1:11" ht="21" customHeight="1" thickBot="1" x14ac:dyDescent="0.25">
      <c r="A136" s="940"/>
      <c r="B136" s="1390"/>
      <c r="C136" s="1024" t="s">
        <v>2389</v>
      </c>
      <c r="D136" s="1621"/>
      <c r="E136" s="1264"/>
      <c r="F136" s="1264"/>
      <c r="G136" s="1025">
        <f>AVERAGE(GrowDD,1-Sub0Days,1-Aspect,HerbWoodMix4,Gcover4)</f>
        <v>0.5</v>
      </c>
      <c r="H136" s="115"/>
      <c r="I136" s="115"/>
      <c r="J136" s="140"/>
      <c r="K136" s="110"/>
    </row>
    <row r="137" spans="1:11" ht="21" customHeight="1" thickBot="1" x14ac:dyDescent="0.25">
      <c r="A137" s="5"/>
      <c r="B137" s="940"/>
      <c r="D137" s="489"/>
      <c r="E137" s="489"/>
      <c r="F137" s="489"/>
      <c r="G137" s="489"/>
      <c r="H137" s="115"/>
      <c r="I137" s="115"/>
      <c r="J137" s="441"/>
    </row>
    <row r="138" spans="1:11" ht="21" customHeight="1" thickBot="1" x14ac:dyDescent="0.25">
      <c r="A138" s="5"/>
      <c r="B138" s="940"/>
      <c r="C138" s="391" t="s">
        <v>1050</v>
      </c>
      <c r="D138" s="610"/>
      <c r="E138" s="610"/>
      <c r="F138" s="610"/>
      <c r="G138" s="610"/>
      <c r="H138" s="115"/>
      <c r="I138" s="115"/>
      <c r="J138" s="441"/>
    </row>
    <row r="139" spans="1:11" ht="21" customHeight="1" thickBot="1" x14ac:dyDescent="0.25">
      <c r="A139" s="5"/>
      <c r="B139" s="940"/>
      <c r="C139" s="1247" t="s">
        <v>2390</v>
      </c>
      <c r="D139" s="1621"/>
      <c r="E139" s="1264"/>
      <c r="F139" s="1264"/>
      <c r="G139" s="1248">
        <f>AVERAGE(SoilTex4,SoilDisturb4,OWpct4,Wettype4,WoodyPct4, NewWet)</f>
        <v>0.2</v>
      </c>
      <c r="H139" s="115"/>
      <c r="I139" s="115"/>
      <c r="J139" s="441"/>
    </row>
    <row r="140" spans="1:11" ht="21" customHeight="1" thickBot="1" x14ac:dyDescent="0.25">
      <c r="A140" s="5"/>
      <c r="B140" s="940"/>
      <c r="D140" s="489"/>
      <c r="E140" s="489"/>
      <c r="F140" s="489"/>
      <c r="G140" s="489"/>
      <c r="H140" s="115"/>
      <c r="I140" s="115"/>
      <c r="J140" s="441"/>
    </row>
    <row r="141" spans="1:11" ht="21" customHeight="1" thickBot="1" x14ac:dyDescent="0.25">
      <c r="A141" s="5"/>
      <c r="B141" s="940"/>
      <c r="C141" s="391" t="s">
        <v>723</v>
      </c>
      <c r="D141" s="610"/>
      <c r="E141" s="610"/>
      <c r="F141" s="610"/>
      <c r="G141" s="610"/>
      <c r="H141" s="115"/>
      <c r="I141" s="115"/>
      <c r="J141" s="441"/>
    </row>
    <row r="142" spans="1:11" ht="27" customHeight="1" thickBot="1" x14ac:dyDescent="0.25">
      <c r="A142" s="940"/>
      <c r="B142" s="1390"/>
      <c r="C142" s="1024" t="s">
        <v>2466</v>
      </c>
      <c r="D142" s="1621"/>
      <c r="E142" s="1264"/>
      <c r="F142" s="1264"/>
      <c r="G142" s="1025">
        <f>AVERAGE(WetPerim2Area, SwampMarshPct, Interspers4,Inclus4,Groundw4, PermWpct4, SatPct4, SeasWpct4, Fluctu4)</f>
        <v>0</v>
      </c>
      <c r="H142" s="115"/>
      <c r="I142" s="115"/>
      <c r="J142" s="441"/>
    </row>
    <row r="143" spans="1:11" ht="21" customHeight="1" thickBot="1" x14ac:dyDescent="0.25">
      <c r="A143" s="5"/>
      <c r="B143" s="940"/>
      <c r="C143" s="940"/>
      <c r="D143" s="1622"/>
      <c r="E143" s="1622"/>
      <c r="F143" s="1622"/>
      <c r="G143" s="1622"/>
      <c r="H143" s="115"/>
      <c r="I143" s="115"/>
      <c r="J143" s="441"/>
    </row>
    <row r="144" spans="1:11" ht="21" customHeight="1" thickBot="1" x14ac:dyDescent="0.25">
      <c r="A144" s="5"/>
      <c r="B144" s="940"/>
      <c r="C144" s="391" t="s">
        <v>724</v>
      </c>
      <c r="D144" s="1623"/>
      <c r="E144" s="1623"/>
      <c r="F144" s="1623"/>
      <c r="G144" s="1623"/>
      <c r="H144" s="115"/>
      <c r="I144" s="115"/>
      <c r="J144" s="441"/>
    </row>
    <row r="145" spans="1:10" ht="21" customHeight="1" thickBot="1" x14ac:dyDescent="0.25">
      <c r="A145" s="940"/>
      <c r="B145" s="1390"/>
      <c r="C145" s="1024" t="s">
        <v>1954</v>
      </c>
      <c r="D145" s="1621"/>
      <c r="E145" s="1264"/>
      <c r="F145" s="1264"/>
      <c r="G145" s="1025">
        <f>AVERAGE(Gradient4, PondPct4,  ThruFlo4, Girreg4, Constric4, VwidthAbs4)</f>
        <v>0</v>
      </c>
      <c r="H145" s="115"/>
      <c r="I145" s="115"/>
      <c r="J145" s="441"/>
    </row>
    <row r="146" spans="1:10" ht="21" customHeight="1" thickBot="1" x14ac:dyDescent="0.25">
      <c r="A146" s="1246"/>
      <c r="B146" s="10"/>
      <c r="C146" s="940"/>
      <c r="D146" s="1622"/>
      <c r="E146" s="1622"/>
      <c r="F146" s="1622"/>
      <c r="G146" s="1622"/>
      <c r="H146" s="115"/>
      <c r="I146" s="115"/>
      <c r="J146" s="441"/>
    </row>
    <row r="147" spans="1:10" ht="21" customHeight="1" thickBot="1" x14ac:dyDescent="0.25">
      <c r="A147" s="1246"/>
      <c r="B147" s="1246"/>
      <c r="C147" s="391" t="s">
        <v>715</v>
      </c>
      <c r="D147" s="1623"/>
      <c r="E147" s="1623"/>
      <c r="F147" s="1623"/>
      <c r="G147" s="1623"/>
      <c r="H147" s="115"/>
      <c r="I147" s="115"/>
      <c r="J147" s="441"/>
    </row>
    <row r="148" spans="1:10" ht="21" customHeight="1" thickBot="1" x14ac:dyDescent="0.25">
      <c r="A148" s="1246"/>
      <c r="B148" s="1246"/>
      <c r="C148" s="83" t="s">
        <v>226</v>
      </c>
      <c r="D148" s="1624"/>
      <c r="E148" s="507"/>
      <c r="F148" s="507"/>
      <c r="G148" s="1625">
        <f>OutDura4</f>
        <v>0</v>
      </c>
      <c r="H148" s="115"/>
      <c r="I148" s="115"/>
      <c r="J148" s="441"/>
    </row>
    <row r="149" spans="1:10" ht="21" customHeight="1" thickBot="1" x14ac:dyDescent="0.25">
      <c r="A149" s="1246"/>
      <c r="B149" s="1246"/>
      <c r="D149" s="609"/>
      <c r="E149" s="609"/>
      <c r="F149" s="609"/>
      <c r="G149" s="609"/>
      <c r="H149" s="115"/>
      <c r="I149" s="115"/>
      <c r="J149" s="441"/>
    </row>
    <row r="150" spans="1:10" ht="21" customHeight="1" thickBot="1" x14ac:dyDescent="0.25">
      <c r="A150" s="1246"/>
      <c r="B150" s="1246"/>
      <c r="C150" s="639" t="s">
        <v>846</v>
      </c>
      <c r="D150" s="608"/>
      <c r="E150" s="608"/>
      <c r="F150" s="608"/>
      <c r="G150" s="608"/>
      <c r="H150" s="115"/>
      <c r="I150" s="115"/>
      <c r="J150" s="441"/>
    </row>
    <row r="151" spans="1:10" ht="21" customHeight="1" thickBot="1" x14ac:dyDescent="0.25">
      <c r="A151" s="1246"/>
      <c r="B151" s="1246"/>
      <c r="C151" s="409" t="s">
        <v>727</v>
      </c>
      <c r="D151" s="610"/>
      <c r="E151" s="610"/>
      <c r="F151" s="610"/>
      <c r="G151" s="610"/>
      <c r="H151" s="115"/>
      <c r="I151" s="115"/>
      <c r="J151" s="441"/>
    </row>
    <row r="152" spans="1:10" ht="30.75" customHeight="1" thickBot="1" x14ac:dyDescent="0.25">
      <c r="A152" s="1246"/>
      <c r="B152" s="1246"/>
      <c r="C152" s="83" t="s">
        <v>2467</v>
      </c>
      <c r="D152" s="1624"/>
      <c r="E152" s="507"/>
      <c r="F152" s="507"/>
      <c r="G152" s="582">
        <f>IF((OutNone + OutNone1&gt;0),10, 10*AVERAGE(TEMP1A, CARB1A, REDOX1A, DELAY1A, OutDura4))</f>
        <v>1.4</v>
      </c>
      <c r="H152" s="115"/>
      <c r="I152" s="115"/>
      <c r="J152" s="441"/>
    </row>
    <row r="153" spans="1:10" ht="21" customHeight="1" thickBot="1" x14ac:dyDescent="0.25">
      <c r="A153" s="1246"/>
      <c r="B153" s="1246"/>
      <c r="D153" s="609"/>
      <c r="E153" s="608"/>
      <c r="F153" s="608"/>
      <c r="G153" s="608"/>
      <c r="H153" s="591"/>
      <c r="I153" s="832" t="s">
        <v>293</v>
      </c>
      <c r="J153" s="441"/>
    </row>
    <row r="154" spans="1:10" ht="38.25" x14ac:dyDescent="0.2">
      <c r="A154" s="1550"/>
      <c r="B154" s="1550"/>
      <c r="C154" s="1496"/>
      <c r="D154" s="1626"/>
      <c r="E154" s="608"/>
      <c r="F154" s="608"/>
      <c r="G154" s="608"/>
      <c r="H154" s="591"/>
      <c r="I154" s="1433" t="s">
        <v>318</v>
      </c>
      <c r="J154" s="441"/>
    </row>
    <row r="155" spans="1:10" s="123" customFormat="1" ht="31.5" customHeight="1" x14ac:dyDescent="0.2">
      <c r="A155" s="1627"/>
      <c r="B155" s="1466"/>
      <c r="C155" s="1498"/>
      <c r="D155" s="1626"/>
      <c r="E155" s="608"/>
      <c r="F155" s="608"/>
      <c r="G155" s="608"/>
      <c r="H155" s="591"/>
      <c r="I155" s="1431" t="s">
        <v>1051</v>
      </c>
      <c r="J155" s="140"/>
    </row>
    <row r="156" spans="1:10" s="123" customFormat="1" ht="57" customHeight="1" x14ac:dyDescent="0.2">
      <c r="A156" s="1627"/>
      <c r="B156" s="1466"/>
      <c r="C156" s="1498"/>
      <c r="D156" s="1626"/>
      <c r="E156" s="608"/>
      <c r="F156" s="608"/>
      <c r="G156" s="608"/>
      <c r="H156" s="591"/>
      <c r="I156" s="833" t="s">
        <v>1052</v>
      </c>
      <c r="J156" s="140"/>
    </row>
    <row r="157" spans="1:10" s="123" customFormat="1" ht="42" customHeight="1" x14ac:dyDescent="0.2">
      <c r="A157" s="1627"/>
      <c r="B157" s="1552"/>
      <c r="C157" s="1628"/>
      <c r="D157" s="1629"/>
      <c r="E157" s="608"/>
      <c r="F157" s="608"/>
      <c r="G157" s="608"/>
      <c r="H157" s="591"/>
      <c r="I157" s="833" t="s">
        <v>1838</v>
      </c>
      <c r="J157" s="140"/>
    </row>
    <row r="158" spans="1:10" s="123" customFormat="1" ht="42" customHeight="1" x14ac:dyDescent="0.2">
      <c r="A158" s="1627"/>
      <c r="B158" s="1552"/>
      <c r="C158" s="1628"/>
      <c r="D158" s="1629"/>
      <c r="E158" s="608"/>
      <c r="F158" s="608"/>
      <c r="G158" s="608"/>
      <c r="H158" s="591"/>
      <c r="I158" s="817" t="s">
        <v>1839</v>
      </c>
      <c r="J158" s="140"/>
    </row>
    <row r="159" spans="1:10" s="123" customFormat="1" ht="27" customHeight="1" x14ac:dyDescent="0.2">
      <c r="A159" s="1627"/>
      <c r="B159" s="1552"/>
      <c r="C159" s="1628"/>
      <c r="D159" s="1629"/>
      <c r="E159" s="608"/>
      <c r="F159" s="608"/>
      <c r="G159" s="608"/>
      <c r="H159" s="591"/>
      <c r="I159" s="816" t="s">
        <v>1053</v>
      </c>
      <c r="J159" s="140"/>
    </row>
    <row r="160" spans="1:10" s="123" customFormat="1" ht="57" customHeight="1" x14ac:dyDescent="0.2">
      <c r="A160" s="1627"/>
      <c r="B160" s="1552"/>
      <c r="C160" s="1628"/>
      <c r="D160" s="1629"/>
      <c r="E160" s="608"/>
      <c r="F160" s="608"/>
      <c r="G160" s="608"/>
      <c r="H160" s="591"/>
      <c r="I160" s="833" t="s">
        <v>1054</v>
      </c>
      <c r="J160" s="140"/>
    </row>
    <row r="161" spans="1:10" s="123" customFormat="1" ht="42" customHeight="1" x14ac:dyDescent="0.2">
      <c r="A161" s="1627"/>
      <c r="B161" s="1552"/>
      <c r="C161" s="1628"/>
      <c r="D161" s="1629"/>
      <c r="E161" s="608"/>
      <c r="F161" s="608"/>
      <c r="G161" s="608"/>
      <c r="H161" s="591"/>
      <c r="I161" s="1431" t="s">
        <v>1055</v>
      </c>
      <c r="J161" s="140"/>
    </row>
    <row r="162" spans="1:10" s="123" customFormat="1" ht="42" customHeight="1" x14ac:dyDescent="0.2">
      <c r="A162" s="1627"/>
      <c r="B162" s="1630"/>
      <c r="C162" s="1498"/>
      <c r="D162" s="1631"/>
      <c r="E162" s="608"/>
      <c r="F162" s="608"/>
      <c r="G162" s="608"/>
      <c r="H162" s="591"/>
      <c r="I162" s="1431" t="s">
        <v>1840</v>
      </c>
      <c r="J162" s="140"/>
    </row>
    <row r="163" spans="1:10" ht="27" customHeight="1" x14ac:dyDescent="0.2">
      <c r="A163" s="1627"/>
      <c r="B163" s="2128"/>
      <c r="C163" s="588"/>
      <c r="D163" s="1632"/>
      <c r="E163" s="608"/>
      <c r="F163" s="608"/>
      <c r="G163" s="608"/>
      <c r="H163" s="591"/>
      <c r="I163" s="1431" t="s">
        <v>1056</v>
      </c>
      <c r="J163" s="441"/>
    </row>
    <row r="164" spans="1:10" ht="42" customHeight="1" x14ac:dyDescent="0.2">
      <c r="A164" s="1627"/>
      <c r="B164" s="2128"/>
      <c r="C164" s="1496"/>
      <c r="D164" s="1632"/>
      <c r="E164" s="608"/>
      <c r="F164" s="608"/>
      <c r="G164" s="608"/>
      <c r="H164" s="591"/>
      <c r="I164" s="816" t="s">
        <v>1057</v>
      </c>
      <c r="J164" s="441"/>
    </row>
    <row r="165" spans="1:10" ht="42" customHeight="1" x14ac:dyDescent="0.2">
      <c r="A165" s="1627"/>
      <c r="B165" s="1466"/>
      <c r="C165" s="1498"/>
      <c r="D165" s="1632"/>
      <c r="E165" s="608"/>
      <c r="F165" s="608"/>
      <c r="G165" s="608"/>
      <c r="H165" s="591"/>
      <c r="I165" s="816" t="s">
        <v>1841</v>
      </c>
      <c r="J165" s="441"/>
    </row>
    <row r="166" spans="1:10" ht="38.25" x14ac:dyDescent="0.2">
      <c r="A166" s="1627"/>
      <c r="B166" s="1466"/>
      <c r="C166" s="1498"/>
      <c r="D166" s="1632"/>
      <c r="E166" s="608"/>
      <c r="F166" s="608"/>
      <c r="G166" s="608"/>
      <c r="H166" s="591"/>
      <c r="I166" s="816" t="s">
        <v>1804</v>
      </c>
      <c r="J166" s="441"/>
    </row>
    <row r="167" spans="1:10" ht="42" customHeight="1" x14ac:dyDescent="0.2">
      <c r="A167" s="1627"/>
      <c r="B167" s="1552"/>
      <c r="C167" s="1628"/>
      <c r="D167" s="1629"/>
      <c r="E167" s="608"/>
      <c r="F167" s="608"/>
      <c r="G167" s="608"/>
      <c r="H167" s="591"/>
      <c r="I167" s="816" t="s">
        <v>1058</v>
      </c>
      <c r="J167" s="441"/>
    </row>
    <row r="168" spans="1:10" ht="27" customHeight="1" x14ac:dyDescent="0.2">
      <c r="A168" s="1627"/>
      <c r="B168" s="1552"/>
      <c r="C168" s="1628"/>
      <c r="D168" s="1629"/>
      <c r="E168" s="608"/>
      <c r="F168" s="608"/>
      <c r="G168" s="608"/>
      <c r="H168" s="591"/>
      <c r="I168" s="1431" t="s">
        <v>1059</v>
      </c>
      <c r="J168" s="441"/>
    </row>
    <row r="169" spans="1:10" ht="27" customHeight="1" x14ac:dyDescent="0.2">
      <c r="A169" s="1627"/>
      <c r="B169" s="1552"/>
      <c r="C169" s="1628"/>
      <c r="D169" s="1629"/>
      <c r="E169" s="608"/>
      <c r="F169" s="608"/>
      <c r="G169" s="608"/>
      <c r="H169" s="591"/>
      <c r="I169" s="1431" t="s">
        <v>1060</v>
      </c>
      <c r="J169" s="441"/>
    </row>
    <row r="170" spans="1:10" ht="42" customHeight="1" x14ac:dyDescent="0.2">
      <c r="A170" s="1627"/>
      <c r="B170" s="1552"/>
      <c r="C170" s="1628"/>
      <c r="D170" s="1629"/>
      <c r="E170" s="608"/>
      <c r="F170" s="608"/>
      <c r="G170" s="608"/>
      <c r="H170" s="591"/>
      <c r="I170" s="816" t="s">
        <v>1061</v>
      </c>
      <c r="J170" s="441"/>
    </row>
    <row r="171" spans="1:10" ht="38.25" x14ac:dyDescent="0.2">
      <c r="A171" s="1627"/>
      <c r="B171" s="1552"/>
      <c r="C171" s="1628"/>
      <c r="D171" s="1629"/>
      <c r="E171" s="608"/>
      <c r="F171" s="608"/>
      <c r="G171" s="608"/>
      <c r="H171" s="591"/>
      <c r="I171" s="816" t="s">
        <v>1252</v>
      </c>
      <c r="J171" s="441"/>
    </row>
    <row r="172" spans="1:10" ht="42" customHeight="1" x14ac:dyDescent="0.2">
      <c r="A172" s="1627"/>
      <c r="B172" s="1630"/>
      <c r="C172" s="1498"/>
      <c r="D172" s="1631"/>
      <c r="E172" s="608"/>
      <c r="F172" s="608"/>
      <c r="G172" s="608"/>
      <c r="H172" s="591"/>
      <c r="I172" s="816" t="s">
        <v>1062</v>
      </c>
      <c r="J172" s="441"/>
    </row>
    <row r="173" spans="1:10" ht="42" customHeight="1" x14ac:dyDescent="0.2">
      <c r="A173" s="5"/>
      <c r="D173" s="5"/>
      <c r="E173" s="5"/>
      <c r="F173" s="5"/>
      <c r="G173" s="5"/>
      <c r="H173" s="1390"/>
      <c r="I173" s="816" t="s">
        <v>1063</v>
      </c>
      <c r="J173" s="441"/>
    </row>
    <row r="174" spans="1:10" ht="42" customHeight="1" x14ac:dyDescent="0.2">
      <c r="A174" s="5"/>
      <c r="D174" s="5"/>
      <c r="E174" s="5"/>
      <c r="F174" s="5"/>
      <c r="G174" s="5"/>
      <c r="H174" s="1390"/>
      <c r="I174" s="816" t="s">
        <v>314</v>
      </c>
      <c r="J174" s="441"/>
    </row>
    <row r="175" spans="1:10" ht="27" customHeight="1" x14ac:dyDescent="0.2">
      <c r="A175" s="5"/>
      <c r="D175" s="5"/>
      <c r="E175" s="5"/>
      <c r="F175" s="5"/>
      <c r="G175" s="5"/>
      <c r="H175" s="1390"/>
      <c r="I175" s="816" t="s">
        <v>1064</v>
      </c>
      <c r="J175" s="441"/>
    </row>
    <row r="176" spans="1:10" ht="29.25" customHeight="1" x14ac:dyDescent="0.2">
      <c r="A176" s="5"/>
      <c r="D176" s="5"/>
      <c r="E176" s="5"/>
      <c r="F176" s="5"/>
      <c r="G176" s="5"/>
      <c r="H176" s="1390"/>
      <c r="I176" s="1431" t="s">
        <v>1065</v>
      </c>
      <c r="J176" s="441"/>
    </row>
    <row r="177" spans="1:10" ht="57" customHeight="1" x14ac:dyDescent="0.2">
      <c r="A177" s="5"/>
      <c r="D177" s="5"/>
      <c r="E177" s="5"/>
      <c r="F177" s="5"/>
      <c r="G177" s="5"/>
      <c r="H177" s="1390"/>
      <c r="I177" s="817" t="s">
        <v>1066</v>
      </c>
      <c r="J177" s="441"/>
    </row>
    <row r="178" spans="1:10" ht="38.25" x14ac:dyDescent="0.2">
      <c r="A178" s="5"/>
      <c r="D178" s="5"/>
      <c r="E178" s="5"/>
      <c r="F178" s="5"/>
      <c r="G178" s="5"/>
      <c r="H178" s="1390"/>
      <c r="I178" s="816" t="s">
        <v>1067</v>
      </c>
      <c r="J178" s="441"/>
    </row>
    <row r="179" spans="1:10" ht="42" customHeight="1" x14ac:dyDescent="0.2">
      <c r="A179" s="5"/>
      <c r="D179" s="5"/>
      <c r="E179" s="5"/>
      <c r="F179" s="5"/>
      <c r="G179" s="5"/>
      <c r="H179" s="1390"/>
      <c r="I179" s="816" t="s">
        <v>306</v>
      </c>
      <c r="J179" s="441"/>
    </row>
    <row r="180" spans="1:10" ht="29.25" customHeight="1" x14ac:dyDescent="0.2">
      <c r="A180" s="5"/>
      <c r="D180" s="5"/>
      <c r="E180" s="5"/>
      <c r="F180" s="5"/>
      <c r="G180" s="5"/>
      <c r="H180" s="1390"/>
      <c r="I180" s="833" t="s">
        <v>1068</v>
      </c>
      <c r="J180" s="441"/>
    </row>
    <row r="181" spans="1:10" ht="69" customHeight="1" x14ac:dyDescent="0.2">
      <c r="A181" s="5"/>
      <c r="D181" s="5"/>
      <c r="E181" s="5"/>
      <c r="F181" s="5"/>
      <c r="G181" s="5"/>
      <c r="H181" s="1390"/>
      <c r="I181" s="833" t="s">
        <v>1806</v>
      </c>
      <c r="J181" s="441"/>
    </row>
    <row r="182" spans="1:10" ht="32.25" customHeight="1" x14ac:dyDescent="0.2">
      <c r="A182" s="5"/>
      <c r="D182" s="5"/>
      <c r="E182" s="5"/>
      <c r="F182" s="5"/>
      <c r="G182" s="5"/>
      <c r="H182" s="1390"/>
      <c r="I182" s="833" t="s">
        <v>1842</v>
      </c>
      <c r="J182" s="441"/>
    </row>
    <row r="183" spans="1:10" ht="38.25" x14ac:dyDescent="0.2">
      <c r="A183" s="5"/>
      <c r="D183" s="5"/>
      <c r="E183" s="5"/>
      <c r="F183" s="5"/>
      <c r="G183" s="5"/>
      <c r="H183" s="1390"/>
      <c r="I183" s="1431" t="s">
        <v>1069</v>
      </c>
    </row>
    <row r="184" spans="1:10" ht="42" customHeight="1" x14ac:dyDescent="0.2">
      <c r="A184" s="5"/>
      <c r="D184" s="5"/>
      <c r="E184" s="5"/>
      <c r="F184" s="5"/>
      <c r="G184" s="5"/>
      <c r="H184" s="1390"/>
      <c r="I184" s="1431" t="s">
        <v>1070</v>
      </c>
    </row>
    <row r="185" spans="1:10" ht="51" x14ac:dyDescent="0.2">
      <c r="A185" s="5"/>
      <c r="D185" s="5"/>
      <c r="E185" s="5"/>
      <c r="F185" s="5"/>
      <c r="G185" s="5"/>
      <c r="H185" s="1390"/>
      <c r="I185" s="1431" t="s">
        <v>1843</v>
      </c>
    </row>
    <row r="186" spans="1:10" ht="42" customHeight="1" x14ac:dyDescent="0.2">
      <c r="A186" s="5"/>
      <c r="D186" s="5"/>
      <c r="E186" s="5"/>
      <c r="F186" s="5"/>
      <c r="G186" s="5"/>
      <c r="H186" s="1390"/>
      <c r="I186" s="816" t="s">
        <v>319</v>
      </c>
    </row>
    <row r="187" spans="1:10" ht="42" customHeight="1" x14ac:dyDescent="0.2">
      <c r="A187" s="5"/>
      <c r="D187" s="5"/>
      <c r="E187" s="5"/>
      <c r="F187" s="5"/>
      <c r="G187" s="5"/>
      <c r="H187" s="1390"/>
      <c r="I187" s="816" t="s">
        <v>1844</v>
      </c>
    </row>
    <row r="188" spans="1:10" ht="27" customHeight="1" x14ac:dyDescent="0.2">
      <c r="A188" s="5"/>
      <c r="D188" s="5"/>
      <c r="E188" s="5"/>
      <c r="F188" s="5"/>
      <c r="G188" s="5"/>
      <c r="H188" s="1390"/>
      <c r="I188" s="1431" t="s">
        <v>299</v>
      </c>
    </row>
    <row r="189" spans="1:10" ht="27" customHeight="1" x14ac:dyDescent="0.2">
      <c r="A189" s="5"/>
      <c r="D189" s="5"/>
      <c r="E189" s="5"/>
      <c r="F189" s="5"/>
      <c r="G189" s="5"/>
      <c r="H189" s="1390"/>
      <c r="I189" s="834" t="s">
        <v>1845</v>
      </c>
    </row>
    <row r="190" spans="1:10" ht="57" customHeight="1" thickBot="1" x14ac:dyDescent="0.25">
      <c r="A190" s="5"/>
      <c r="D190" s="5"/>
      <c r="E190" s="5"/>
      <c r="F190" s="5"/>
      <c r="G190" s="5"/>
      <c r="H190" s="1390"/>
      <c r="I190" s="296" t="s">
        <v>1071</v>
      </c>
    </row>
    <row r="191" spans="1:10" ht="55.5" customHeight="1" x14ac:dyDescent="0.2">
      <c r="A191" s="5"/>
      <c r="D191" s="5"/>
      <c r="E191" s="5"/>
      <c r="F191" s="5"/>
      <c r="G191" s="5"/>
      <c r="H191" s="940"/>
      <c r="I191" s="1026"/>
    </row>
    <row r="192" spans="1:10" ht="42" customHeight="1" x14ac:dyDescent="0.2">
      <c r="A192" s="5"/>
      <c r="D192" s="5"/>
      <c r="E192" s="5"/>
      <c r="F192" s="5"/>
      <c r="G192" s="5"/>
      <c r="H192" s="940"/>
      <c r="I192" s="126"/>
    </row>
    <row r="193" spans="1:9" ht="42" customHeight="1" x14ac:dyDescent="0.2">
      <c r="A193" s="5"/>
      <c r="D193" s="5"/>
      <c r="E193" s="5"/>
      <c r="F193" s="5"/>
      <c r="G193" s="5"/>
      <c r="H193" s="940"/>
      <c r="I193" s="126"/>
    </row>
    <row r="194" spans="1:9" ht="27" customHeight="1" x14ac:dyDescent="0.2">
      <c r="A194" s="5"/>
      <c r="D194" s="5"/>
      <c r="E194" s="5"/>
      <c r="F194" s="5"/>
      <c r="G194" s="5"/>
      <c r="H194" s="940"/>
      <c r="I194" s="117"/>
    </row>
    <row r="195" spans="1:9" x14ac:dyDescent="0.2">
      <c r="I195" s="117"/>
    </row>
    <row r="196" spans="1:9" x14ac:dyDescent="0.2">
      <c r="I196" s="126"/>
    </row>
    <row r="197" spans="1:9" x14ac:dyDescent="0.2">
      <c r="I197" s="126"/>
    </row>
    <row r="198" spans="1:9" x14ac:dyDescent="0.2">
      <c r="I198" s="117"/>
    </row>
    <row r="199" spans="1:9" x14ac:dyDescent="0.2">
      <c r="I199" s="117"/>
    </row>
    <row r="200" spans="1:9" x14ac:dyDescent="0.2">
      <c r="I200" s="117"/>
    </row>
    <row r="201" spans="1:9" x14ac:dyDescent="0.2">
      <c r="I201" s="117"/>
    </row>
    <row r="202" spans="1:9" x14ac:dyDescent="0.2">
      <c r="I202" s="126"/>
    </row>
    <row r="203" spans="1:9" x14ac:dyDescent="0.2">
      <c r="I203" s="117"/>
    </row>
    <row r="204" spans="1:9" x14ac:dyDescent="0.2">
      <c r="I204" s="117"/>
    </row>
    <row r="205" spans="1:9" x14ac:dyDescent="0.2">
      <c r="I205" s="117"/>
    </row>
    <row r="206" spans="1:9" x14ac:dyDescent="0.2">
      <c r="I206" s="199"/>
    </row>
    <row r="207" spans="1:9" x14ac:dyDescent="0.2">
      <c r="I207" s="199"/>
    </row>
    <row r="208" spans="1:9" x14ac:dyDescent="0.2">
      <c r="I208" s="117"/>
    </row>
    <row r="209" spans="1:9" x14ac:dyDescent="0.2">
      <c r="I209" s="117"/>
    </row>
    <row r="210" spans="1:9" x14ac:dyDescent="0.2">
      <c r="I210" s="126"/>
    </row>
    <row r="211" spans="1:9" x14ac:dyDescent="0.2">
      <c r="I211" s="126"/>
    </row>
    <row r="212" spans="1:9" x14ac:dyDescent="0.2">
      <c r="I212" s="117"/>
    </row>
    <row r="213" spans="1:9" x14ac:dyDescent="0.2">
      <c r="I213" s="117"/>
    </row>
    <row r="214" spans="1:9" x14ac:dyDescent="0.2">
      <c r="I214" s="126"/>
    </row>
    <row r="215" spans="1:9" x14ac:dyDescent="0.2">
      <c r="I215" s="117"/>
    </row>
    <row r="216" spans="1:9" ht="39.6" customHeight="1" x14ac:dyDescent="0.2">
      <c r="A216" s="5"/>
      <c r="E216" s="574"/>
      <c r="F216" s="574"/>
      <c r="G216" s="574"/>
      <c r="I216" s="117"/>
    </row>
    <row r="217" spans="1:9" ht="21" customHeight="1" x14ac:dyDescent="0.2">
      <c r="A217" s="5"/>
      <c r="E217" s="574"/>
      <c r="F217" s="574"/>
      <c r="G217" s="574"/>
    </row>
  </sheetData>
  <sheetProtection password="C4B9" sheet="1" objects="1" scenarios="1"/>
  <sortState ref="A3:K14">
    <sortCondition ref="H3:H14"/>
  </sortState>
  <customSheetViews>
    <customSheetView guid="{B8E02330-2419-4DE6-AD01-7ACC7A5D18DD}" scale="75" topLeftCell="A162">
      <selection activeCell="A2" sqref="A2:H172"/>
      <pageMargins left="0.75" right="0.75" top="1" bottom="1" header="0.5" footer="0.5"/>
      <pageSetup orientation="portrait" horizontalDpi="300" verticalDpi="300" r:id="rId1"/>
      <headerFooter alignWithMargins="0"/>
    </customSheetView>
  </customSheetViews>
  <mergeCells count="87">
    <mergeCell ref="B163:B164"/>
    <mergeCell ref="I11:I17"/>
    <mergeCell ref="I65:I70"/>
    <mergeCell ref="A71:A75"/>
    <mergeCell ref="B52:B57"/>
    <mergeCell ref="B11:B17"/>
    <mergeCell ref="A11:A17"/>
    <mergeCell ref="I71:I75"/>
    <mergeCell ref="I52:I57"/>
    <mergeCell ref="B71:B75"/>
    <mergeCell ref="A65:A70"/>
    <mergeCell ref="A52:A57"/>
    <mergeCell ref="B58:B64"/>
    <mergeCell ref="B83:B89"/>
    <mergeCell ref="B101:B106"/>
    <mergeCell ref="I58:I64"/>
    <mergeCell ref="B90:B96"/>
    <mergeCell ref="I45:I51"/>
    <mergeCell ref="I83:I89"/>
    <mergeCell ref="H83:H89"/>
    <mergeCell ref="H90:H96"/>
    <mergeCell ref="H45:H51"/>
    <mergeCell ref="I90:I96"/>
    <mergeCell ref="I107:I112"/>
    <mergeCell ref="H97:H100"/>
    <mergeCell ref="H101:H106"/>
    <mergeCell ref="A107:A112"/>
    <mergeCell ref="B97:B100"/>
    <mergeCell ref="A97:A100"/>
    <mergeCell ref="B107:B112"/>
    <mergeCell ref="H107:H112"/>
    <mergeCell ref="A101:A106"/>
    <mergeCell ref="I101:I106"/>
    <mergeCell ref="I18:I24"/>
    <mergeCell ref="I97:I100"/>
    <mergeCell ref="I32:I36"/>
    <mergeCell ref="I37:I40"/>
    <mergeCell ref="I41:I44"/>
    <mergeCell ref="I25:I31"/>
    <mergeCell ref="I126:I132"/>
    <mergeCell ref="H126:H132"/>
    <mergeCell ref="A121:A125"/>
    <mergeCell ref="H113:H116"/>
    <mergeCell ref="B121:B125"/>
    <mergeCell ref="B117:B120"/>
    <mergeCell ref="A117:A120"/>
    <mergeCell ref="A113:A116"/>
    <mergeCell ref="I121:I125"/>
    <mergeCell ref="I117:I120"/>
    <mergeCell ref="I113:I116"/>
    <mergeCell ref="H117:H120"/>
    <mergeCell ref="B126:B132"/>
    <mergeCell ref="H121:H125"/>
    <mergeCell ref="A126:A132"/>
    <mergeCell ref="B113:B116"/>
    <mergeCell ref="A90:A96"/>
    <mergeCell ref="B65:B70"/>
    <mergeCell ref="E1:H1"/>
    <mergeCell ref="H58:H64"/>
    <mergeCell ref="H65:H70"/>
    <mergeCell ref="H71:H75"/>
    <mergeCell ref="A83:A89"/>
    <mergeCell ref="B41:B44"/>
    <mergeCell ref="B37:B40"/>
    <mergeCell ref="A18:A24"/>
    <mergeCell ref="A37:A40"/>
    <mergeCell ref="B18:B24"/>
    <mergeCell ref="B32:B36"/>
    <mergeCell ref="A41:A44"/>
    <mergeCell ref="H18:H24"/>
    <mergeCell ref="H37:H40"/>
    <mergeCell ref="A58:A64"/>
    <mergeCell ref="A45:A51"/>
    <mergeCell ref="B45:B51"/>
    <mergeCell ref="I76:I82"/>
    <mergeCell ref="A1:B1"/>
    <mergeCell ref="A76:A82"/>
    <mergeCell ref="H41:H44"/>
    <mergeCell ref="H11:H17"/>
    <mergeCell ref="H52:H57"/>
    <mergeCell ref="H32:H36"/>
    <mergeCell ref="A32:A36"/>
    <mergeCell ref="B76:B82"/>
    <mergeCell ref="H76:H82"/>
    <mergeCell ref="B25:B31"/>
    <mergeCell ref="A25:A31"/>
    <mergeCell ref="H25:H31"/>
  </mergeCells>
  <phoneticPr fontId="12" type="noConversion"/>
  <pageMargins left="0.75" right="0.75" top="1" bottom="1" header="0.5" footer="0.5"/>
  <pageSetup orientation="portrait" horizontalDpi="300" verticalDpi="300"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I168"/>
  <sheetViews>
    <sheetView zoomScaleNormal="100" workbookViewId="0">
      <selection activeCell="C6" sqref="C6"/>
    </sheetView>
  </sheetViews>
  <sheetFormatPr defaultColWidth="9.33203125" defaultRowHeight="12.75" x14ac:dyDescent="0.2"/>
  <cols>
    <col min="1" max="1" width="5.83203125" style="25" customWidth="1"/>
    <col min="2" max="2" width="18.83203125" style="5" customWidth="1"/>
    <col min="3" max="3" width="69.83203125" style="5" customWidth="1"/>
    <col min="4" max="6" width="6.83203125" style="577" customWidth="1"/>
    <col min="7" max="7" width="10.83203125" style="179" customWidth="1"/>
    <col min="8" max="8" width="12.83203125" style="113" customWidth="1"/>
    <col min="9" max="9" width="67.83203125" style="6" customWidth="1"/>
    <col min="10" max="10" width="9.33203125" style="574"/>
    <col min="11" max="16384" width="9.33203125" style="5"/>
  </cols>
  <sheetData>
    <row r="1" spans="1:35" s="62" customFormat="1" ht="102" customHeight="1" thickBot="1" x14ac:dyDescent="0.25">
      <c r="A1" s="1976" t="s">
        <v>1754</v>
      </c>
      <c r="B1" s="1977"/>
      <c r="C1" s="60" t="s">
        <v>522</v>
      </c>
      <c r="D1" s="1028" t="s">
        <v>512</v>
      </c>
      <c r="E1" s="2134"/>
      <c r="F1" s="2135"/>
      <c r="G1" s="2135"/>
      <c r="H1" s="2136"/>
      <c r="I1" s="1409" t="s">
        <v>882</v>
      </c>
      <c r="J1" s="147"/>
      <c r="K1" s="1031"/>
      <c r="L1" s="1031"/>
      <c r="M1" s="1031"/>
      <c r="N1" s="1031"/>
      <c r="O1" s="1031"/>
      <c r="P1" s="1031"/>
      <c r="Q1" s="1031"/>
      <c r="R1" s="1031"/>
      <c r="S1" s="1031"/>
      <c r="T1" s="1031"/>
      <c r="U1" s="1031"/>
      <c r="V1" s="1031"/>
      <c r="W1" s="1031"/>
      <c r="X1" s="1031"/>
      <c r="Y1" s="1031"/>
      <c r="Z1" s="1031"/>
      <c r="AA1" s="1031"/>
      <c r="AB1" s="1031"/>
      <c r="AC1" s="1031"/>
      <c r="AD1" s="1031"/>
      <c r="AE1" s="1031"/>
      <c r="AF1" s="1031"/>
      <c r="AG1" s="1031"/>
      <c r="AH1" s="1031"/>
      <c r="AI1" s="1031"/>
    </row>
    <row r="2" spans="1:35" s="1029" customFormat="1" ht="50.25" thickBot="1" x14ac:dyDescent="0.25">
      <c r="A2" s="1008" t="s">
        <v>78</v>
      </c>
      <c r="B2" s="1009" t="s">
        <v>701</v>
      </c>
      <c r="C2" s="1010" t="s">
        <v>866</v>
      </c>
      <c r="D2" s="1008"/>
      <c r="E2" s="1011"/>
      <c r="F2" s="1012"/>
      <c r="G2" s="1013" t="s">
        <v>710</v>
      </c>
      <c r="H2" s="1009" t="s">
        <v>2028</v>
      </c>
      <c r="I2" s="1009" t="s">
        <v>255</v>
      </c>
      <c r="J2" s="1033"/>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0"/>
    </row>
    <row r="3" spans="1:35" s="1325" customFormat="1" ht="102.75" customHeight="1" thickBot="1" x14ac:dyDescent="0.25">
      <c r="A3" s="322" t="str">
        <f>OF!A16</f>
        <v>OF15</v>
      </c>
      <c r="B3" s="323" t="str">
        <f>OF!C16</f>
        <v>Growing Degree Days</v>
      </c>
      <c r="C3" s="337"/>
      <c r="D3" s="324"/>
      <c r="E3" s="325"/>
      <c r="F3" s="325"/>
      <c r="G3" s="345" t="str">
        <f>IF((GrowDD=""),"",GrowDD)</f>
        <v/>
      </c>
      <c r="H3" s="351" t="s">
        <v>698</v>
      </c>
      <c r="I3" s="454" t="s">
        <v>565</v>
      </c>
      <c r="J3" s="1600"/>
    </row>
    <row r="4" spans="1:35" s="1325" customFormat="1" ht="30" customHeight="1" thickBot="1" x14ac:dyDescent="0.25">
      <c r="A4" s="317" t="str">
        <f>OF!A34</f>
        <v>OF33</v>
      </c>
      <c r="B4" s="1308" t="str">
        <f>OF!C34</f>
        <v>Riparian or Floodway Location</v>
      </c>
      <c r="C4" s="336"/>
      <c r="D4" s="1259"/>
      <c r="E4" s="1260"/>
      <c r="F4" s="865"/>
      <c r="G4" s="809" t="str">
        <f>IF((RipFloodpl=""),"",RipFloodpl)</f>
        <v/>
      </c>
      <c r="H4" s="1309" t="s">
        <v>697</v>
      </c>
      <c r="I4" s="455" t="s">
        <v>1008</v>
      </c>
      <c r="J4" s="1600"/>
    </row>
    <row r="5" spans="1:35" s="1325" customFormat="1" ht="30" customHeight="1" thickBot="1" x14ac:dyDescent="0.25">
      <c r="A5" s="317" t="str">
        <f>OF!A50</f>
        <v>OF49</v>
      </c>
      <c r="B5" s="318" t="str">
        <f>OF!C50</f>
        <v>Wetland Vegetated Area (in hectares)</v>
      </c>
      <c r="C5" s="336"/>
      <c r="D5" s="320"/>
      <c r="E5" s="321"/>
      <c r="F5" s="321"/>
      <c r="G5" s="330" t="str">
        <f>IF((WetVegArea=""),"",WetVegArea)</f>
        <v/>
      </c>
      <c r="H5" s="332" t="s">
        <v>656</v>
      </c>
      <c r="I5" s="319" t="s">
        <v>1156</v>
      </c>
      <c r="J5" s="1600"/>
      <c r="K5" s="1332"/>
    </row>
    <row r="6" spans="1:35" s="1007" customFormat="1" ht="66.75" thickBot="1" x14ac:dyDescent="0.35">
      <c r="A6" s="997" t="s">
        <v>78</v>
      </c>
      <c r="B6" s="998" t="s">
        <v>709</v>
      </c>
      <c r="C6" s="999" t="s">
        <v>708</v>
      </c>
      <c r="D6" s="1000" t="s">
        <v>33</v>
      </c>
      <c r="E6" s="1001" t="s">
        <v>1131</v>
      </c>
      <c r="F6" s="1002" t="s">
        <v>1130</v>
      </c>
      <c r="G6" s="1003" t="s">
        <v>710</v>
      </c>
      <c r="H6" s="1004" t="s">
        <v>2028</v>
      </c>
      <c r="I6" s="1005" t="s">
        <v>917</v>
      </c>
      <c r="J6" s="1006"/>
    </row>
    <row r="7" spans="1:35" ht="21" customHeight="1" thickBot="1" x14ac:dyDescent="0.25">
      <c r="A7" s="1867" t="str">
        <f>F!A5</f>
        <v>F1</v>
      </c>
      <c r="B7" s="1867" t="str">
        <f>F!B5</f>
        <v>Wetland Type - Predominant</v>
      </c>
      <c r="C7" s="90" t="str">
        <f>F!C5</f>
        <v>Follow the key below and mark the ONE row that best describes MOST of the AA:</v>
      </c>
      <c r="D7" s="282"/>
      <c r="E7" s="376"/>
      <c r="F7" s="376"/>
      <c r="G7" s="225">
        <f>MAX(F8:F13)/MAX(E8:E13)</f>
        <v>0</v>
      </c>
      <c r="H7" s="1867" t="s">
        <v>478</v>
      </c>
      <c r="I7" s="2008" t="s">
        <v>2000</v>
      </c>
    </row>
    <row r="8" spans="1:35" ht="42" customHeight="1" x14ac:dyDescent="0.2">
      <c r="A8" s="1991">
        <f>F!A6</f>
        <v>0</v>
      </c>
      <c r="B8" s="1911"/>
      <c r="C8" s="888" t="str">
        <f>F!C6</f>
        <v>A. Moss and/or lichen cover more than 25% of the ground. Substrate is mostly undecomposed peat. Choose between A1 and A2 and mark the choice with a 1 in their adjoining column. Otherwise go to B below.</v>
      </c>
      <c r="D8" s="733">
        <f>F!D6</f>
        <v>0</v>
      </c>
      <c r="E8" s="734">
        <v>3</v>
      </c>
      <c r="F8" s="722">
        <f>D8*E8</f>
        <v>0</v>
      </c>
      <c r="G8" s="721"/>
      <c r="H8" s="1911"/>
      <c r="I8" s="1847"/>
    </row>
    <row r="9" spans="1:35" ht="89.25" x14ac:dyDescent="0.2">
      <c r="A9" s="1991" t="e">
        <f>F!#REF!</f>
        <v>#REF!</v>
      </c>
      <c r="B9" s="1911"/>
      <c r="C9" s="889" t="str">
        <f>F!C7</f>
        <v xml:space="preserve">   A1. Surface water is usually absent or, if present, pH is typically &lt;4.5 and conductivity is &lt;100 µS/cm (about 64 ppm TDS).  Often dominated by ericaceous shrubs (e.g., Labrador tea, lingonberry), sometimes with pitcher plant, sundew. Sedge cover usually sparse or absent. Trees, if present, are mainly limited to black spruce.  Wetland surface is never sloping, except sometimes from wetland center towards outer edges (convex), and surrounding landscape is flat.  Inlet and outlet channels are usually absent.</v>
      </c>
      <c r="D9" s="733">
        <f>F!D7</f>
        <v>0</v>
      </c>
      <c r="E9" s="885">
        <v>3</v>
      </c>
      <c r="F9" s="722">
        <f>D9*E9</f>
        <v>0</v>
      </c>
      <c r="G9" s="721"/>
      <c r="H9" s="1911"/>
      <c r="I9" s="1847"/>
    </row>
    <row r="10" spans="1:35" ht="63.75" x14ac:dyDescent="0.2">
      <c r="A10" s="1991"/>
      <c r="B10" s="1911"/>
      <c r="C10" s="889" t="str">
        <f>F!C8</f>
        <v xml:space="preserve">   A2. Not A1. Surface water, if present, has pH typically &gt;4.5 and conductivity is &gt;100 µS/cm.  Sedges and/or cottongrass often dominate the ground cover, while ericaceous shrubs and black spruce may also be present. Sometimes at toe of slope or edge of water body. An exit channel is usually present. Wetter than A1, often with many small persistent pools.</v>
      </c>
      <c r="D10" s="733">
        <f>F!D8</f>
        <v>0</v>
      </c>
      <c r="E10" s="885">
        <v>2</v>
      </c>
      <c r="F10" s="722">
        <f t="shared" ref="F10:F13" si="0">D10*E10</f>
        <v>0</v>
      </c>
      <c r="G10" s="721"/>
      <c r="H10" s="1911"/>
      <c r="I10" s="1847"/>
    </row>
    <row r="11" spans="1:35" ht="38.25" x14ac:dyDescent="0.2">
      <c r="A11" s="1991"/>
      <c r="B11" s="1911"/>
      <c r="C11" s="889" t="str">
        <f>F!C9</f>
        <v>B. Moss and/or lichen cover less than 25% of the ground. Soil is mineral or decomposed organic (muck). Choose between B1 and B2 and mark the choice with a 1 in their adjoining column:</v>
      </c>
      <c r="D11" s="733">
        <f>F!D9</f>
        <v>0</v>
      </c>
      <c r="E11" s="885">
        <v>4</v>
      </c>
      <c r="F11" s="722">
        <f t="shared" si="0"/>
        <v>0</v>
      </c>
      <c r="G11" s="721"/>
      <c r="H11" s="1911"/>
      <c r="I11" s="1847"/>
    </row>
    <row r="12" spans="1:35" ht="43.5" customHeight="1" x14ac:dyDescent="0.2">
      <c r="A12" s="1991"/>
      <c r="B12" s="1911"/>
      <c r="C12" s="889" t="str">
        <f>F!C10</f>
        <v xml:space="preserve">   B1. Trees and shrubs taller than 1 m comprise more than 25% of the vegetated cover. Surface water is mostly absent or inundates the vegetation only seasonally (e.g., snowmelt pools or floodplain).  Often in riparian settings, abandoned beaver flowages.</v>
      </c>
      <c r="D12" s="733">
        <f>F!D10</f>
        <v>0</v>
      </c>
      <c r="E12" s="885">
        <v>4</v>
      </c>
      <c r="F12" s="722">
        <f t="shared" si="0"/>
        <v>0</v>
      </c>
      <c r="G12" s="721"/>
      <c r="H12" s="1911"/>
      <c r="I12" s="1847"/>
    </row>
    <row r="13" spans="1:35" ht="72.75" customHeight="1" thickBot="1" x14ac:dyDescent="0.25">
      <c r="A13" s="1991"/>
      <c r="B13" s="1911"/>
      <c r="C13" s="747" t="str">
        <f>F!C11</f>
        <v xml:space="preserve">   B2. Not B1.  Tree &amp; tall shrubs taller than 1 m comprise less than 25% of the vegetated cover. Vegetation is mostly herbaceous, e.g., cattail, bulrush, burreed, pond lily, horsetail.  Often in depressions (potholes, created ponds), or along lakes and rivers, or where fill has blocked water movement causing prolonged flooding of wetlands formerly covered by moss.  Surface water often fluctuates widely among seasons and years.</v>
      </c>
      <c r="D13" s="370">
        <f>F!D11</f>
        <v>0</v>
      </c>
      <c r="E13" s="886">
        <v>3</v>
      </c>
      <c r="F13" s="380">
        <f t="shared" si="0"/>
        <v>0</v>
      </c>
      <c r="G13" s="721"/>
      <c r="H13" s="1911"/>
      <c r="I13" s="1847"/>
    </row>
    <row r="14" spans="1:35" ht="46.5" customHeight="1" thickBot="1" x14ac:dyDescent="0.25">
      <c r="A14" s="1867" t="str">
        <f>F!A18</f>
        <v>F3</v>
      </c>
      <c r="B14" s="1867" t="str">
        <f>F!B18</f>
        <v>Woody Cover by Height</v>
      </c>
      <c r="C14" s="90" t="str">
        <f>F!C18</f>
        <v>Following EACH row below, indicate with a number code the percentage of the of the living vegetation in the AA occupied by that feature (5 if &gt;75%,   4 if 50-75%,   3 if 25-50%,   2 if 5-25%,   1 if &lt;5%, 0 if none).  If the AA has no trees or shrubs, SKIP to F8.</v>
      </c>
      <c r="D14" s="1255"/>
      <c r="E14" s="1254"/>
      <c r="F14" s="376"/>
      <c r="G14" s="225">
        <f>IF((D16&gt;3),1,IF((D18&gt;3),0.8, IF((D15&gt;3),0.6,IF((D17&gt;3),0.4, 0))))</f>
        <v>0</v>
      </c>
      <c r="H14" s="2006" t="s">
        <v>2263</v>
      </c>
      <c r="I14" s="2137" t="s">
        <v>2468</v>
      </c>
    </row>
    <row r="15" spans="1:35" ht="15" customHeight="1" x14ac:dyDescent="0.2">
      <c r="A15" s="1911"/>
      <c r="B15" s="1911"/>
      <c r="C15" s="888" t="str">
        <f>F!C19</f>
        <v>coniferous trees (including tamarack) taller than 3 m.</v>
      </c>
      <c r="D15" s="733">
        <f>F!D19</f>
        <v>0</v>
      </c>
      <c r="E15" s="1633"/>
      <c r="F15" s="1634"/>
      <c r="G15" s="723"/>
      <c r="H15" s="2007"/>
      <c r="I15" s="2138"/>
    </row>
    <row r="16" spans="1:35" ht="15" customHeight="1" x14ac:dyDescent="0.2">
      <c r="A16" s="1911"/>
      <c r="B16" s="1911"/>
      <c r="C16" s="889" t="str">
        <f>F!C20</f>
        <v>deciduous trees taller than 3 m.</v>
      </c>
      <c r="D16" s="733">
        <f>F!D20</f>
        <v>0</v>
      </c>
      <c r="E16" s="1633"/>
      <c r="F16" s="1634"/>
      <c r="G16" s="723"/>
      <c r="H16" s="2007"/>
      <c r="I16" s="2138"/>
    </row>
    <row r="17" spans="1:9" ht="21" customHeight="1" x14ac:dyDescent="0.2">
      <c r="A17" s="1911"/>
      <c r="B17" s="1911"/>
      <c r="C17" s="889" t="str">
        <f>F!C21</f>
        <v>coniferous or ericaceous shrubs or trees 1-3 m tall not directly below the canopy of trees.</v>
      </c>
      <c r="D17" s="733">
        <f>F!D21</f>
        <v>0</v>
      </c>
      <c r="E17" s="1633"/>
      <c r="F17" s="1634"/>
      <c r="G17" s="723"/>
      <c r="H17" s="2007"/>
      <c r="I17" s="2138"/>
    </row>
    <row r="18" spans="1:9" ht="28.9" customHeight="1" x14ac:dyDescent="0.2">
      <c r="A18" s="1911"/>
      <c r="B18" s="1911"/>
      <c r="C18" s="889" t="str">
        <f>F!C22</f>
        <v>deciduous shrubs or trees 1-3 m tall not directly below the canopy of trees &gt;3 m (e.g., deciduous saplings).</v>
      </c>
      <c r="D18" s="733">
        <f>F!D22</f>
        <v>0</v>
      </c>
      <c r="E18" s="1633"/>
      <c r="F18" s="1634"/>
      <c r="G18" s="723"/>
      <c r="H18" s="2007"/>
      <c r="I18" s="2138"/>
    </row>
    <row r="19" spans="1:9" ht="25.5" x14ac:dyDescent="0.2">
      <c r="A19" s="1911"/>
      <c r="B19" s="1911"/>
      <c r="C19" s="889" t="str">
        <f>F!C23</f>
        <v>coniferous or ericaceous shrubs or trees &lt;1 m tall not directly below the canopy of taller vegetation.</v>
      </c>
      <c r="D19" s="733">
        <f>F!D23</f>
        <v>0</v>
      </c>
      <c r="E19" s="1633"/>
      <c r="F19" s="1634"/>
      <c r="G19" s="723"/>
      <c r="H19" s="2007"/>
      <c r="I19" s="2138"/>
    </row>
    <row r="20" spans="1:9" ht="15" customHeight="1" thickBot="1" x14ac:dyDescent="0.25">
      <c r="A20" s="1978"/>
      <c r="B20" s="1978"/>
      <c r="C20" s="82" t="str">
        <f>F!C24</f>
        <v>deciduous shrubs or trees &lt;1 m tall (e.g., deciduous seedlings).</v>
      </c>
      <c r="D20" s="94">
        <f>F!D24</f>
        <v>0</v>
      </c>
      <c r="E20" s="1635"/>
      <c r="F20" s="1634"/>
      <c r="G20" s="728"/>
      <c r="H20" s="2012"/>
      <c r="I20" s="2139"/>
    </row>
    <row r="21" spans="1:9" ht="30" customHeight="1" thickBot="1" x14ac:dyDescent="0.25">
      <c r="A21" s="2053" t="str">
        <f>F!A47</f>
        <v>F8</v>
      </c>
      <c r="B21" s="2053" t="str">
        <f>F!B47</f>
        <v>N Fixers</v>
      </c>
      <c r="C21" s="877" t="str">
        <f>F!C47</f>
        <v>The percent of the AA's vegetated cover that is nitrogen-fixing plants (e.g., alder, baltic (wire) rush, sweetgale, lupine, clover, other legumes) is:</v>
      </c>
      <c r="D21" s="736"/>
      <c r="E21" s="239"/>
      <c r="F21" s="259"/>
      <c r="G21" s="219">
        <f>MAX(F22:F26)/MAX(E22:E26)</f>
        <v>0</v>
      </c>
      <c r="H21" s="1911" t="s">
        <v>83</v>
      </c>
      <c r="I21" s="2133" t="s">
        <v>269</v>
      </c>
    </row>
    <row r="22" spans="1:9" ht="15" customHeight="1" x14ac:dyDescent="0.2">
      <c r="A22" s="2053"/>
      <c r="B22" s="2053"/>
      <c r="C22" s="888" t="str">
        <f>F!C48</f>
        <v>&lt;1% or none.</v>
      </c>
      <c r="D22" s="763">
        <f>F!D48</f>
        <v>0</v>
      </c>
      <c r="E22" s="722">
        <v>0</v>
      </c>
      <c r="F22" s="722">
        <f>D22*E22</f>
        <v>0</v>
      </c>
      <c r="G22" s="202"/>
      <c r="H22" s="1911"/>
      <c r="I22" s="1847"/>
    </row>
    <row r="23" spans="1:9" ht="25.5" x14ac:dyDescent="0.2">
      <c r="A23" s="2053"/>
      <c r="B23" s="2053"/>
      <c r="C23" s="889" t="str">
        <f>F!C49</f>
        <v>1-25% of the shrub plus ground cover, in the AA or along its water edge (whichever has more).</v>
      </c>
      <c r="D23" s="763">
        <f>F!D49</f>
        <v>0</v>
      </c>
      <c r="E23" s="722">
        <v>1</v>
      </c>
      <c r="F23" s="722">
        <f>D23*E23</f>
        <v>0</v>
      </c>
      <c r="G23" s="775"/>
      <c r="H23" s="1911"/>
      <c r="I23" s="1847"/>
    </row>
    <row r="24" spans="1:9" ht="25.5" x14ac:dyDescent="0.2">
      <c r="A24" s="2053"/>
      <c r="B24" s="2053"/>
      <c r="C24" s="889" t="str">
        <f>F!C50</f>
        <v>25-50% of the shrub plus ground cover, in the AA or along its water edge (whichever has more).</v>
      </c>
      <c r="D24" s="763">
        <f>F!D50</f>
        <v>0</v>
      </c>
      <c r="E24" s="722">
        <v>2</v>
      </c>
      <c r="F24" s="722">
        <f>D24*E24</f>
        <v>0</v>
      </c>
      <c r="G24" s="775"/>
      <c r="H24" s="1911"/>
      <c r="I24" s="1847"/>
    </row>
    <row r="25" spans="1:9" ht="25.5" x14ac:dyDescent="0.2">
      <c r="A25" s="2053"/>
      <c r="B25" s="2053"/>
      <c r="C25" s="889" t="str">
        <f>F!C51</f>
        <v>50-75% of the shrub plus ground cover, in the AA or along its water edge (whichever has more).</v>
      </c>
      <c r="D25" s="763">
        <f>F!D51</f>
        <v>0</v>
      </c>
      <c r="E25" s="722">
        <v>3</v>
      </c>
      <c r="F25" s="722">
        <f>D25*E25</f>
        <v>0</v>
      </c>
      <c r="G25" s="775"/>
      <c r="H25" s="1911"/>
      <c r="I25" s="1847"/>
    </row>
    <row r="26" spans="1:9" ht="26.25" thickBot="1" x14ac:dyDescent="0.25">
      <c r="A26" s="2074"/>
      <c r="B26" s="2074"/>
      <c r="C26" s="82" t="str">
        <f>F!C52</f>
        <v>&gt;75% of the shrub plus ground cover, in the AA or along its water edge (whichever has more).</v>
      </c>
      <c r="D26" s="94">
        <f>F!D52</f>
        <v>0</v>
      </c>
      <c r="E26" s="244">
        <v>4</v>
      </c>
      <c r="F26" s="244">
        <f>D26*E26</f>
        <v>0</v>
      </c>
      <c r="G26" s="258"/>
      <c r="H26" s="1978"/>
      <c r="I26" s="1848"/>
    </row>
    <row r="27" spans="1:9" ht="39" thickBot="1" x14ac:dyDescent="0.25">
      <c r="A27" s="1867" t="str">
        <f>F!A57</f>
        <v>F10</v>
      </c>
      <c r="B27" s="1867" t="str">
        <f>F!B57</f>
        <v>Sphagnum Moss Extent</v>
      </c>
      <c r="C27" s="4" t="str">
        <f>F!C57</f>
        <v>The cover of Sphagnum moss (or any moss that forms a dense cushion many centimeters thick), including the moss obscured by taller sedges and other plants rooted in it, is:</v>
      </c>
      <c r="D27" s="372"/>
      <c r="E27" s="376"/>
      <c r="F27" s="376"/>
      <c r="G27" s="225">
        <f>MAX(F28:F32)/MAX(E28:E32)</f>
        <v>0</v>
      </c>
      <c r="H27" s="1867" t="s">
        <v>646</v>
      </c>
      <c r="I27" s="2008" t="s">
        <v>1009</v>
      </c>
    </row>
    <row r="28" spans="1:9" ht="15" customHeight="1" x14ac:dyDescent="0.2">
      <c r="A28" s="1911"/>
      <c r="B28" s="1911"/>
      <c r="C28" s="426" t="str">
        <f>F!C58</f>
        <v>&lt;5% of the ground cover, or none.</v>
      </c>
      <c r="D28" s="354">
        <f>F!D58</f>
        <v>0</v>
      </c>
      <c r="E28" s="377">
        <v>0</v>
      </c>
      <c r="F28" s="377">
        <f>D28*E28</f>
        <v>0</v>
      </c>
      <c r="G28" s="257"/>
      <c r="H28" s="1911"/>
      <c r="I28" s="1847"/>
    </row>
    <row r="29" spans="1:9" ht="15" customHeight="1" x14ac:dyDescent="0.2">
      <c r="A29" s="1911"/>
      <c r="B29" s="1911"/>
      <c r="C29" s="362" t="str">
        <f>F!C59</f>
        <v>5-25% of the ground cover.</v>
      </c>
      <c r="D29" s="354">
        <f>F!D59</f>
        <v>0</v>
      </c>
      <c r="E29" s="377">
        <v>1</v>
      </c>
      <c r="F29" s="377">
        <f>D29*E29</f>
        <v>0</v>
      </c>
      <c r="G29" s="257"/>
      <c r="H29" s="1911"/>
      <c r="I29" s="1847"/>
    </row>
    <row r="30" spans="1:9" ht="15" customHeight="1" x14ac:dyDescent="0.2">
      <c r="A30" s="1911"/>
      <c r="B30" s="1911"/>
      <c r="C30" s="362" t="str">
        <f>F!C60</f>
        <v>25-50% of the ground cover.</v>
      </c>
      <c r="D30" s="354">
        <f>F!D60</f>
        <v>0</v>
      </c>
      <c r="E30" s="377">
        <v>2</v>
      </c>
      <c r="F30" s="377">
        <f>D30*E30</f>
        <v>0</v>
      </c>
      <c r="G30" s="257"/>
      <c r="H30" s="1911"/>
      <c r="I30" s="1847"/>
    </row>
    <row r="31" spans="1:9" ht="15" customHeight="1" x14ac:dyDescent="0.2">
      <c r="A31" s="1911"/>
      <c r="B31" s="1911"/>
      <c r="C31" s="362" t="str">
        <f>F!C61</f>
        <v>50-95% of the ground cover.</v>
      </c>
      <c r="D31" s="354">
        <f>F!D61</f>
        <v>0</v>
      </c>
      <c r="E31" s="377">
        <v>3</v>
      </c>
      <c r="F31" s="377">
        <f>D31*E31</f>
        <v>0</v>
      </c>
      <c r="G31" s="257"/>
      <c r="H31" s="1911"/>
      <c r="I31" s="1847"/>
    </row>
    <row r="32" spans="1:9" ht="15" customHeight="1" thickBot="1" x14ac:dyDescent="0.25">
      <c r="A32" s="1978"/>
      <c r="B32" s="1978"/>
      <c r="C32" s="82" t="str">
        <f>F!C62</f>
        <v>&gt;95% of the ground cover.</v>
      </c>
      <c r="D32" s="94">
        <f>F!D62</f>
        <v>0</v>
      </c>
      <c r="E32" s="244">
        <v>4</v>
      </c>
      <c r="F32" s="244">
        <f>D32*E32</f>
        <v>0</v>
      </c>
      <c r="G32" s="258"/>
      <c r="H32" s="1978"/>
      <c r="I32" s="1848"/>
    </row>
    <row r="33" spans="1:9" ht="39" thickBot="1" x14ac:dyDescent="0.25">
      <c r="A33" s="2073" t="str">
        <f>F!A63</f>
        <v>F11</v>
      </c>
      <c r="B33" s="2073" t="str">
        <f>F!B63</f>
        <v>% Bare Ground &amp; Thatch</v>
      </c>
      <c r="C33" s="877" t="str">
        <f>F!C63</f>
        <v>Consider the parts of the AA that lack surface water at the driest time of the growing season.  Viewed from directly above the ground layer, the predominant condition in those areas at that time is:</v>
      </c>
      <c r="D33" s="437"/>
      <c r="E33" s="239"/>
      <c r="F33" s="259"/>
      <c r="G33" s="219">
        <f>MAX(F34:F37)/MAX(E34:E37)</f>
        <v>0</v>
      </c>
      <c r="H33" s="1867" t="s">
        <v>84</v>
      </c>
      <c r="I33" s="2132" t="s">
        <v>1010</v>
      </c>
    </row>
    <row r="34" spans="1:9" ht="43.5" customHeight="1" x14ac:dyDescent="0.2">
      <c r="A34" s="2053"/>
      <c r="B34" s="2053"/>
      <c r="C34" s="426" t="str">
        <f>F!C64</f>
        <v>Little or no (&lt;5%) bare ground is visible between erect stems or under canopy anywhere in the vegetated AA. Ground is extensively blanketed by dense thatch, moss, lichens, graminoids with great stem densities, or plants with ground-hugging foliage. </v>
      </c>
      <c r="D34" s="180">
        <f>F!D64</f>
        <v>0</v>
      </c>
      <c r="E34" s="377">
        <v>3</v>
      </c>
      <c r="F34" s="377">
        <f>D34*E34</f>
        <v>0</v>
      </c>
      <c r="G34" s="202"/>
      <c r="H34" s="1911"/>
      <c r="I34" s="1847"/>
    </row>
    <row r="35" spans="1:9" ht="27" customHeight="1" x14ac:dyDescent="0.2">
      <c r="A35" s="2053"/>
      <c r="B35" s="2053"/>
      <c r="C35" s="362" t="str">
        <f>F!C65</f>
        <v>Slightly bare ground (5-20% bare between plants) is visible in places, but those areas comprise less than 5% of the unflooded parts of the AA.</v>
      </c>
      <c r="D35" s="382">
        <f>F!D65</f>
        <v>0</v>
      </c>
      <c r="E35" s="377">
        <v>2</v>
      </c>
      <c r="F35" s="377">
        <f>D35*E35</f>
        <v>0</v>
      </c>
      <c r="G35" s="257"/>
      <c r="H35" s="1911"/>
      <c r="I35" s="1847"/>
    </row>
    <row r="36" spans="1:9" ht="27" customHeight="1" x14ac:dyDescent="0.2">
      <c r="A36" s="2053"/>
      <c r="B36" s="2053"/>
      <c r="C36" s="362" t="str">
        <f>F!C66</f>
        <v>Much bare ground (20-50% bare between plants) is visible in places, and those areas comprise more than 5% of the unflooded parts of the AA. </v>
      </c>
      <c r="D36" s="382">
        <f>F!D66</f>
        <v>0</v>
      </c>
      <c r="E36" s="377">
        <v>1</v>
      </c>
      <c r="F36" s="377">
        <f>D36*E36</f>
        <v>0</v>
      </c>
      <c r="G36" s="257"/>
      <c r="H36" s="1911"/>
      <c r="I36" s="1847"/>
    </row>
    <row r="37" spans="1:9" ht="15" customHeight="1" thickBot="1" x14ac:dyDescent="0.25">
      <c r="A37" s="2074"/>
      <c r="B37" s="2074"/>
      <c r="C37" s="361" t="str">
        <f>F!C67</f>
        <v>Other conditions.</v>
      </c>
      <c r="D37" s="383">
        <f>F!D67</f>
        <v>0</v>
      </c>
      <c r="E37" s="380">
        <v>0</v>
      </c>
      <c r="F37" s="380">
        <f>D37*E37</f>
        <v>0</v>
      </c>
      <c r="G37" s="433"/>
      <c r="H37" s="1978"/>
      <c r="I37" s="1848"/>
    </row>
    <row r="38" spans="1:9" ht="45" customHeight="1" thickBot="1" x14ac:dyDescent="0.25">
      <c r="A38" s="1867" t="str">
        <f>F!A77</f>
        <v>F14</v>
      </c>
      <c r="B38" s="1867" t="str">
        <f>F!B77</f>
        <v>Soil Texture</v>
      </c>
      <c r="C38" s="90" t="str">
        <f>F!C77</f>
        <v>In parts of the AA that lack persistent water, the texture of soil in the uppermost layer is mostly:  [To determine this, use a trowel to check in at least 3 widely spaced locations, and use the soil texture key in Appendix A of the Manual].</v>
      </c>
      <c r="D38" s="372"/>
      <c r="E38" s="376"/>
      <c r="F38" s="262"/>
      <c r="G38" s="225">
        <f>MAX(F39:F44)/MAX(E39:E44)</f>
        <v>0</v>
      </c>
      <c r="H38" s="1867" t="s">
        <v>85</v>
      </c>
      <c r="I38" s="2132" t="s">
        <v>432</v>
      </c>
    </row>
    <row r="39" spans="1:9" ht="15" customHeight="1" x14ac:dyDescent="0.2">
      <c r="A39" s="1911"/>
      <c r="B39" s="1911"/>
      <c r="C39" s="426" t="str">
        <f>F!C78</f>
        <v>Loamy: includes loam, sandy loam.</v>
      </c>
      <c r="D39" s="354">
        <f>F!D78</f>
        <v>0</v>
      </c>
      <c r="E39" s="377">
        <v>1</v>
      </c>
      <c r="F39" s="377">
        <f t="shared" ref="F39:F44" si="1">D39*E39</f>
        <v>0</v>
      </c>
      <c r="G39" s="202"/>
      <c r="H39" s="1911"/>
      <c r="I39" s="1847"/>
    </row>
    <row r="40" spans="1:9" ht="27" customHeight="1" x14ac:dyDescent="0.2">
      <c r="A40" s="1911"/>
      <c r="B40" s="1911"/>
      <c r="C40" s="362" t="str">
        <f>F!C79</f>
        <v>Fines: includes silt, glacial flour, clay, clay loam, silty clay, silty clay loam, sandy clay, sandy clay loam.</v>
      </c>
      <c r="D40" s="354">
        <f>F!D79</f>
        <v>0</v>
      </c>
      <c r="E40" s="377">
        <v>2</v>
      </c>
      <c r="F40" s="377">
        <f t="shared" si="1"/>
        <v>0</v>
      </c>
      <c r="G40" s="257"/>
      <c r="H40" s="1911"/>
      <c r="I40" s="1847"/>
    </row>
    <row r="41" spans="1:9" ht="15" customHeight="1" x14ac:dyDescent="0.2">
      <c r="A41" s="1911"/>
      <c r="B41" s="1911"/>
      <c r="C41" s="362" t="str">
        <f>F!C80</f>
        <v>Peat, present to 40 cm depth or greater.</v>
      </c>
      <c r="D41" s="354">
        <f>F!D80</f>
        <v>0</v>
      </c>
      <c r="E41" s="377">
        <v>4</v>
      </c>
      <c r="F41" s="377">
        <f t="shared" si="1"/>
        <v>0</v>
      </c>
      <c r="G41" s="257"/>
      <c r="H41" s="1911"/>
      <c r="I41" s="1847"/>
    </row>
    <row r="42" spans="1:9" ht="15" customHeight="1" x14ac:dyDescent="0.2">
      <c r="A42" s="1911"/>
      <c r="B42" s="1911"/>
      <c r="C42" s="362" t="str">
        <f>F!C81</f>
        <v>Peat, but becomes mineral before reaching 40 cm depth.</v>
      </c>
      <c r="D42" s="354">
        <f>F!D81</f>
        <v>0</v>
      </c>
      <c r="E42" s="380">
        <v>3</v>
      </c>
      <c r="F42" s="380">
        <f t="shared" si="1"/>
        <v>0</v>
      </c>
      <c r="G42" s="721"/>
      <c r="H42" s="1911"/>
      <c r="I42" s="1847"/>
    </row>
    <row r="43" spans="1:9" ht="15" customHeight="1" x14ac:dyDescent="0.2">
      <c r="A43" s="1911"/>
      <c r="B43" s="1911"/>
      <c r="C43" s="362" t="str">
        <f>F!C82</f>
        <v>Organic or organic muck, but becomes mineral before reaching 40 cm depth.</v>
      </c>
      <c r="D43" s="354">
        <f>F!D82</f>
        <v>0</v>
      </c>
      <c r="E43" s="380">
        <v>3</v>
      </c>
      <c r="F43" s="380">
        <f t="shared" si="1"/>
        <v>0</v>
      </c>
      <c r="G43" s="721"/>
      <c r="H43" s="1911"/>
      <c r="I43" s="1847"/>
    </row>
    <row r="44" spans="1:9" ht="27" customHeight="1" thickBot="1" x14ac:dyDescent="0.25">
      <c r="A44" s="1978"/>
      <c r="B44" s="1978"/>
      <c r="C44" s="82" t="str">
        <f>F!C83</f>
        <v>Coarse: includes sand, loamy sand, gravel, cobble, stones, boulders, fluvents, fluvaquents, riverwash.</v>
      </c>
      <c r="D44" s="94">
        <f>F!D83</f>
        <v>0</v>
      </c>
      <c r="E44" s="244">
        <v>0</v>
      </c>
      <c r="F44" s="244">
        <f t="shared" si="1"/>
        <v>0</v>
      </c>
      <c r="G44" s="258"/>
      <c r="H44" s="1978"/>
      <c r="I44" s="1848"/>
    </row>
    <row r="45" spans="1:9" ht="30" customHeight="1" thickBot="1" x14ac:dyDescent="0.25">
      <c r="A45" s="1911" t="str">
        <f>F!A134</f>
        <v>F24</v>
      </c>
      <c r="B45" s="1911" t="str">
        <f>F!B134</f>
        <v>% of Summertime Water That Is Shaded</v>
      </c>
      <c r="C45" s="1376" t="str">
        <f>F!C134</f>
        <v>At mid-day during the warmest time of year, the area of surface water within the AA that is shaded by vegetation and other features that are within the AA at that time is:</v>
      </c>
      <c r="D45" s="736"/>
      <c r="E45" s="239"/>
      <c r="F45" s="259"/>
      <c r="G45" s="761">
        <f>IF((NoPersis=1),"",MAX(F46:F50)/MAX(E46:E50))</f>
        <v>0</v>
      </c>
      <c r="H45" s="1911" t="s">
        <v>645</v>
      </c>
      <c r="I45" s="2009" t="s">
        <v>1228</v>
      </c>
    </row>
    <row r="46" spans="1:9" ht="15" customHeight="1" x14ac:dyDescent="0.2">
      <c r="A46" s="1911"/>
      <c r="B46" s="1911"/>
      <c r="C46" s="575" t="str">
        <f>F!C135</f>
        <v>&lt;5% of the water is shaded, or no surface water is present then.</v>
      </c>
      <c r="D46" s="354">
        <f>F!D135</f>
        <v>0</v>
      </c>
      <c r="E46" s="377">
        <v>0</v>
      </c>
      <c r="F46" s="377">
        <f>D46*E46</f>
        <v>0</v>
      </c>
      <c r="G46" s="202"/>
      <c r="H46" s="1911"/>
      <c r="I46" s="1847"/>
    </row>
    <row r="47" spans="1:9" ht="15" customHeight="1" x14ac:dyDescent="0.2">
      <c r="A47" s="1911"/>
      <c r="B47" s="1911"/>
      <c r="C47" s="576" t="str">
        <f>F!C136</f>
        <v>5-25% of the water is shaded.</v>
      </c>
      <c r="D47" s="354">
        <f>F!D136</f>
        <v>0</v>
      </c>
      <c r="E47" s="377">
        <v>1</v>
      </c>
      <c r="F47" s="377">
        <f>D47*E47</f>
        <v>0</v>
      </c>
      <c r="G47" s="257"/>
      <c r="H47" s="1911"/>
      <c r="I47" s="1847"/>
    </row>
    <row r="48" spans="1:9" ht="15" customHeight="1" x14ac:dyDescent="0.2">
      <c r="A48" s="1911"/>
      <c r="B48" s="1911"/>
      <c r="C48" s="576" t="str">
        <f>F!C137</f>
        <v>25-50% of the water is shaded.</v>
      </c>
      <c r="D48" s="354">
        <f>F!D137</f>
        <v>0</v>
      </c>
      <c r="E48" s="377">
        <v>2</v>
      </c>
      <c r="F48" s="377">
        <f>D48*E48</f>
        <v>0</v>
      </c>
      <c r="G48" s="257"/>
      <c r="H48" s="1911"/>
      <c r="I48" s="1847"/>
    </row>
    <row r="49" spans="1:9" ht="15" customHeight="1" x14ac:dyDescent="0.2">
      <c r="A49" s="1911"/>
      <c r="B49" s="1911"/>
      <c r="C49" s="576" t="str">
        <f>F!C138</f>
        <v>50-75% of the water is shaded.</v>
      </c>
      <c r="D49" s="354">
        <f>F!D138</f>
        <v>0</v>
      </c>
      <c r="E49" s="377">
        <v>3</v>
      </c>
      <c r="F49" s="377">
        <f>D49*E49</f>
        <v>0</v>
      </c>
      <c r="G49" s="257"/>
      <c r="H49" s="1911"/>
      <c r="I49" s="1847"/>
    </row>
    <row r="50" spans="1:9" ht="15" customHeight="1" thickBot="1" x14ac:dyDescent="0.25">
      <c r="A50" s="1978"/>
      <c r="B50" s="1978"/>
      <c r="C50" s="445" t="str">
        <f>F!C139</f>
        <v>&gt;75% of the water is shaded.</v>
      </c>
      <c r="D50" s="94">
        <f>F!D139</f>
        <v>0</v>
      </c>
      <c r="E50" s="244">
        <v>4</v>
      </c>
      <c r="F50" s="244">
        <f>D50*E50</f>
        <v>0</v>
      </c>
      <c r="G50" s="258"/>
      <c r="H50" s="1978"/>
      <c r="I50" s="1848"/>
    </row>
    <row r="51" spans="1:9" ht="30" customHeight="1" thickBot="1" x14ac:dyDescent="0.25">
      <c r="A51" s="1867" t="str">
        <f>F!A142</f>
        <v>F27</v>
      </c>
      <c r="B51" s="1867" t="str">
        <f>F!B142</f>
        <v>% Flooded Only Seasonally</v>
      </c>
      <c r="C51" s="877" t="str">
        <f>F!C142</f>
        <v>The percentage of the AA that is covered by unfrozen surface water only during the wettest time of the year is:</v>
      </c>
      <c r="D51" s="437"/>
      <c r="E51" s="239"/>
      <c r="F51" s="259"/>
      <c r="G51" s="219">
        <f>IF((AllSat1&gt;0),"", MAX(F52:F56)/MAX(E52:E56))</f>
        <v>0</v>
      </c>
      <c r="H51" s="1867" t="s">
        <v>260</v>
      </c>
      <c r="I51" s="2132" t="s">
        <v>1229</v>
      </c>
    </row>
    <row r="52" spans="1:9" ht="15" customHeight="1" x14ac:dyDescent="0.2">
      <c r="A52" s="1911"/>
      <c r="B52" s="1911"/>
      <c r="C52" s="360" t="str">
        <f>F!C143</f>
        <v xml:space="preserve">None, or &lt;0.01 hectare and &lt;1% of the AA. </v>
      </c>
      <c r="D52" s="370">
        <f>F!D143</f>
        <v>0</v>
      </c>
      <c r="E52" s="377">
        <v>0</v>
      </c>
      <c r="F52" s="377">
        <f>D52*E52</f>
        <v>0</v>
      </c>
      <c r="G52" s="202"/>
      <c r="H52" s="1911"/>
      <c r="I52" s="1847"/>
    </row>
    <row r="53" spans="1:9" ht="15" customHeight="1" x14ac:dyDescent="0.2">
      <c r="A53" s="1911"/>
      <c r="B53" s="1911"/>
      <c r="C53" s="361" t="str">
        <f>F!C144</f>
        <v xml:space="preserve">1-25% </v>
      </c>
      <c r="D53" s="370">
        <f>F!D144</f>
        <v>0</v>
      </c>
      <c r="E53" s="377">
        <v>1</v>
      </c>
      <c r="F53" s="377">
        <f>D53*E53</f>
        <v>0</v>
      </c>
      <c r="G53" s="257"/>
      <c r="H53" s="1911"/>
      <c r="I53" s="1847"/>
    </row>
    <row r="54" spans="1:9" ht="15" customHeight="1" x14ac:dyDescent="0.2">
      <c r="A54" s="1911"/>
      <c r="B54" s="1911"/>
      <c r="C54" s="361" t="str">
        <f>F!C145</f>
        <v xml:space="preserve">25-50% </v>
      </c>
      <c r="D54" s="370">
        <f>F!D145</f>
        <v>0</v>
      </c>
      <c r="E54" s="377">
        <v>2</v>
      </c>
      <c r="F54" s="377">
        <f>D54*E54</f>
        <v>0</v>
      </c>
      <c r="G54" s="257"/>
      <c r="H54" s="1911"/>
      <c r="I54" s="1847"/>
    </row>
    <row r="55" spans="1:9" ht="15" customHeight="1" x14ac:dyDescent="0.2">
      <c r="A55" s="1911"/>
      <c r="B55" s="1911"/>
      <c r="C55" s="361" t="str">
        <f>F!C146</f>
        <v xml:space="preserve">50-95% </v>
      </c>
      <c r="D55" s="370">
        <f>F!D146</f>
        <v>0</v>
      </c>
      <c r="E55" s="377">
        <v>3</v>
      </c>
      <c r="F55" s="377">
        <f>D55*E55</f>
        <v>0</v>
      </c>
      <c r="G55" s="257"/>
      <c r="H55" s="1911"/>
      <c r="I55" s="1847"/>
    </row>
    <row r="56" spans="1:9" ht="15" customHeight="1" thickBot="1" x14ac:dyDescent="0.25">
      <c r="A56" s="1978"/>
      <c r="B56" s="1978"/>
      <c r="C56" s="361" t="str">
        <f>F!C147</f>
        <v xml:space="preserve">&gt;95% </v>
      </c>
      <c r="D56" s="370">
        <f>F!D147</f>
        <v>0</v>
      </c>
      <c r="E56" s="380">
        <v>4</v>
      </c>
      <c r="F56" s="380">
        <f>D56*E56</f>
        <v>0</v>
      </c>
      <c r="G56" s="433"/>
      <c r="H56" s="1978"/>
      <c r="I56" s="1848"/>
    </row>
    <row r="57" spans="1:9" ht="30" customHeight="1" thickBot="1" x14ac:dyDescent="0.25">
      <c r="A57" s="2000" t="str">
        <f>F!A148</f>
        <v>F28</v>
      </c>
      <c r="B57" s="2073" t="str">
        <f>F!B148</f>
        <v>Annual Water Fluctuation Range</v>
      </c>
      <c r="C57" s="104" t="str">
        <f>F!C148</f>
        <v>The annual fluctuation in surface water level within most of the parts of the AA that contain surface water is:</v>
      </c>
      <c r="D57" s="372"/>
      <c r="E57" s="376"/>
      <c r="F57" s="262"/>
      <c r="G57" s="225">
        <f>IF((AllSat1&gt;0),"", IF((NoSeasonal=1),"",MAX(F58:F62)/MAX(E58:E62)))</f>
        <v>0</v>
      </c>
      <c r="H57" s="1867" t="s">
        <v>730</v>
      </c>
      <c r="I57" s="2132" t="s">
        <v>1230</v>
      </c>
    </row>
    <row r="58" spans="1:9" ht="15" customHeight="1" x14ac:dyDescent="0.2">
      <c r="A58" s="1989"/>
      <c r="B58" s="2053"/>
      <c r="C58" s="407" t="str">
        <f>F!C149</f>
        <v xml:space="preserve">&lt;10 cm change (stable or nearly so) </v>
      </c>
      <c r="D58" s="359">
        <f>F!D149</f>
        <v>0</v>
      </c>
      <c r="E58" s="377">
        <v>0</v>
      </c>
      <c r="F58" s="377">
        <f>D58*E58</f>
        <v>0</v>
      </c>
      <c r="G58" s="202"/>
      <c r="H58" s="1911"/>
      <c r="I58" s="1847"/>
    </row>
    <row r="59" spans="1:9" ht="15" customHeight="1" x14ac:dyDescent="0.2">
      <c r="A59" s="1989"/>
      <c r="B59" s="2053"/>
      <c r="C59" s="328" t="str">
        <f>F!C150</f>
        <v>10 cm - 50 cm change</v>
      </c>
      <c r="D59" s="359">
        <f>F!D150</f>
        <v>0</v>
      </c>
      <c r="E59" s="377">
        <v>1</v>
      </c>
      <c r="F59" s="377">
        <f>D59*E59</f>
        <v>0</v>
      </c>
      <c r="G59" s="257"/>
      <c r="H59" s="1911"/>
      <c r="I59" s="1847"/>
    </row>
    <row r="60" spans="1:9" ht="15" customHeight="1" x14ac:dyDescent="0.2">
      <c r="A60" s="1989"/>
      <c r="B60" s="2053"/>
      <c r="C60" s="328" t="str">
        <f>F!C151</f>
        <v>0.5 - 1 m change</v>
      </c>
      <c r="D60" s="359">
        <f>F!D151</f>
        <v>0</v>
      </c>
      <c r="E60" s="722">
        <v>2</v>
      </c>
      <c r="F60" s="722">
        <f>D60*E60</f>
        <v>0</v>
      </c>
      <c r="G60" s="775"/>
      <c r="H60" s="1911"/>
      <c r="I60" s="1847"/>
    </row>
    <row r="61" spans="1:9" ht="15" customHeight="1" x14ac:dyDescent="0.2">
      <c r="A61" s="1989"/>
      <c r="B61" s="2053"/>
      <c r="C61" s="328" t="str">
        <f>F!C152</f>
        <v>1-2 m change</v>
      </c>
      <c r="D61" s="359">
        <f>F!D152</f>
        <v>0</v>
      </c>
      <c r="E61" s="377">
        <v>3</v>
      </c>
      <c r="F61" s="377">
        <f>D61*E61</f>
        <v>0</v>
      </c>
      <c r="G61" s="257"/>
      <c r="H61" s="1911"/>
      <c r="I61" s="1847"/>
    </row>
    <row r="62" spans="1:9" ht="15" customHeight="1" thickBot="1" x14ac:dyDescent="0.25">
      <c r="A62" s="1990"/>
      <c r="B62" s="2053"/>
      <c r="C62" s="780" t="str">
        <f>F!C153</f>
        <v>&gt;2 m change</v>
      </c>
      <c r="D62" s="356">
        <f>F!D153</f>
        <v>0</v>
      </c>
      <c r="E62" s="380">
        <v>4</v>
      </c>
      <c r="F62" s="380">
        <f>D62*E62</f>
        <v>0</v>
      </c>
      <c r="G62" s="721"/>
      <c r="H62" s="1911"/>
      <c r="I62" s="1848"/>
    </row>
    <row r="63" spans="1:9" ht="45" customHeight="1" thickBot="1" x14ac:dyDescent="0.25">
      <c r="A63" s="1984" t="str">
        <f>F!A165</f>
        <v>F31</v>
      </c>
      <c r="B63" s="1984" t="str">
        <f>F!B165</f>
        <v xml:space="preserve">% of Water Ponded vs. Flowing </v>
      </c>
      <c r="C63" s="452" t="str">
        <f>F!C165</f>
        <v>The percentage of the AA's surface water that is ponded (stagnant, or flows so slowly that fine sediment is not held in suspension) during most of the time it is present during the growing season, and which is either open or shaded by emergent vegetation, is:</v>
      </c>
      <c r="D63" s="777"/>
      <c r="E63" s="376"/>
      <c r="F63" s="256"/>
      <c r="G63" s="225">
        <f>IF((AllSat1=1),"", IF((SmallAA=1),"", MAX(F64:F69)/MAX(E64:E69)))</f>
        <v>0</v>
      </c>
      <c r="H63" s="1867" t="s">
        <v>474</v>
      </c>
      <c r="I63" s="2008" t="s">
        <v>1231</v>
      </c>
    </row>
    <row r="64" spans="1:9" ht="27" customHeight="1" x14ac:dyDescent="0.2">
      <c r="A64" s="1985"/>
      <c r="B64" s="1985"/>
      <c r="C64" s="924" t="str">
        <f>F!C166</f>
        <v>None, or &lt;0.01 hectare and &lt;1% of the AA. Nearly all water is flowing.  Enter "1" and SKIP to F43 (pH measurement).</v>
      </c>
      <c r="D64" s="763">
        <f>F!D166</f>
        <v>0</v>
      </c>
      <c r="E64" s="722">
        <v>5</v>
      </c>
      <c r="F64" s="380">
        <f t="shared" ref="F64:F69" si="2">D64*E64</f>
        <v>0</v>
      </c>
      <c r="G64" s="775"/>
      <c r="H64" s="1911"/>
      <c r="I64" s="1847"/>
    </row>
    <row r="65" spans="1:9" ht="15" customHeight="1" x14ac:dyDescent="0.2">
      <c r="A65" s="1985"/>
      <c r="B65" s="1985"/>
      <c r="C65" s="925" t="str">
        <f>F!C167</f>
        <v>1-5% of the water.  The rest is flowing.</v>
      </c>
      <c r="D65" s="763">
        <f>F!D167</f>
        <v>0</v>
      </c>
      <c r="E65" s="722">
        <v>4</v>
      </c>
      <c r="F65" s="380">
        <f t="shared" si="2"/>
        <v>0</v>
      </c>
      <c r="G65" s="775"/>
      <c r="H65" s="1911"/>
      <c r="I65" s="1847"/>
    </row>
    <row r="66" spans="1:9" ht="15" customHeight="1" x14ac:dyDescent="0.2">
      <c r="A66" s="1985"/>
      <c r="B66" s="1985"/>
      <c r="C66" s="925" t="str">
        <f>F!C168</f>
        <v>5-30% of the water.</v>
      </c>
      <c r="D66" s="763">
        <f>F!D168</f>
        <v>0</v>
      </c>
      <c r="E66" s="722">
        <v>4</v>
      </c>
      <c r="F66" s="380">
        <f t="shared" si="2"/>
        <v>0</v>
      </c>
      <c r="G66" s="775"/>
      <c r="H66" s="1911"/>
      <c r="I66" s="1847"/>
    </row>
    <row r="67" spans="1:9" ht="15" customHeight="1" x14ac:dyDescent="0.2">
      <c r="A67" s="1985"/>
      <c r="B67" s="1985"/>
      <c r="C67" s="925" t="str">
        <f>F!C169</f>
        <v>30-70% of the water.</v>
      </c>
      <c r="D67" s="763">
        <f>F!D169</f>
        <v>0</v>
      </c>
      <c r="E67" s="722">
        <v>3</v>
      </c>
      <c r="F67" s="380">
        <f t="shared" si="2"/>
        <v>0</v>
      </c>
      <c r="G67" s="775"/>
      <c r="H67" s="1911"/>
      <c r="I67" s="1847"/>
    </row>
    <row r="68" spans="1:9" ht="15" customHeight="1" x14ac:dyDescent="0.2">
      <c r="A68" s="1985"/>
      <c r="B68" s="1985"/>
      <c r="C68" s="925" t="str">
        <f>F!C170</f>
        <v>70-99% of the water.</v>
      </c>
      <c r="D68" s="763">
        <f>F!D170</f>
        <v>0</v>
      </c>
      <c r="E68" s="722">
        <v>2</v>
      </c>
      <c r="F68" s="380">
        <f t="shared" si="2"/>
        <v>0</v>
      </c>
      <c r="G68" s="775"/>
      <c r="H68" s="1911"/>
      <c r="I68" s="1847"/>
    </row>
    <row r="69" spans="1:9" ht="15" customHeight="1" thickBot="1" x14ac:dyDescent="0.25">
      <c r="A69" s="1985"/>
      <c r="B69" s="2005"/>
      <c r="C69" s="449" t="str">
        <f>F!C171</f>
        <v>&gt;99% of the water.  Little or no visibly flowing water within the AA.</v>
      </c>
      <c r="D69" s="191">
        <f>F!D171</f>
        <v>0</v>
      </c>
      <c r="E69" s="244">
        <v>1</v>
      </c>
      <c r="F69" s="244">
        <f t="shared" si="2"/>
        <v>0</v>
      </c>
      <c r="G69" s="258"/>
      <c r="H69" s="1978"/>
      <c r="I69" s="1847"/>
    </row>
    <row r="70" spans="1:9" ht="39" thickBot="1" x14ac:dyDescent="0.25">
      <c r="A70" s="1984" t="str">
        <f>F!A173</f>
        <v>F33</v>
      </c>
      <c r="B70" s="1985" t="str">
        <f>F!B173</f>
        <v xml:space="preserve">% of Ponded Water That Is Open </v>
      </c>
      <c r="C70" s="446" t="str">
        <f>F!C173</f>
        <v>In ducks-eye aerial view, the percentage of the ponded water that is open (lacking emergent vegetation during most of the growing season, and unhidden by a forest or shrub canopy) is:</v>
      </c>
      <c r="D70" s="736"/>
      <c r="E70" s="239"/>
      <c r="F70" s="239"/>
      <c r="G70" s="219">
        <f>IF((AllSat1&gt;0),"",IF((NoPonded=1),"", IF((SmallAA=1),"", MAX(F71:F76)/MAX(E71:E76))))</f>
        <v>0</v>
      </c>
      <c r="H70" s="1911" t="s">
        <v>797</v>
      </c>
      <c r="I70" s="2008" t="s">
        <v>1232</v>
      </c>
    </row>
    <row r="71" spans="1:9" ht="27" customHeight="1" x14ac:dyDescent="0.2">
      <c r="A71" s="1985"/>
      <c r="B71" s="1985"/>
      <c r="C71" s="447" t="str">
        <f>F!C174</f>
        <v>None, or &lt;1% of the AA and largest pool occupies &lt;0.01 hectares.  Enter "1" and SKIP to F41 (Floating Algae &amp; Duckweed).</v>
      </c>
      <c r="D71" s="304">
        <f>F!D174</f>
        <v>0</v>
      </c>
      <c r="E71" s="377">
        <v>6</v>
      </c>
      <c r="F71" s="380">
        <f t="shared" ref="F71:F87" si="3">D71*E71</f>
        <v>0</v>
      </c>
      <c r="G71" s="257"/>
      <c r="H71" s="1911"/>
      <c r="I71" s="2009"/>
    </row>
    <row r="72" spans="1:9" ht="15" customHeight="1" x14ac:dyDescent="0.2">
      <c r="A72" s="1985"/>
      <c r="B72" s="1985"/>
      <c r="C72" s="448" t="str">
        <f>F!C175</f>
        <v>1-5% of the ponded water.  Enter "1" and SKIP to F41.</v>
      </c>
      <c r="D72" s="383">
        <f>F!D175</f>
        <v>0</v>
      </c>
      <c r="E72" s="377">
        <v>5</v>
      </c>
      <c r="F72" s="380">
        <f t="shared" si="3"/>
        <v>0</v>
      </c>
      <c r="G72" s="257"/>
      <c r="H72" s="1911"/>
      <c r="I72" s="2009"/>
    </row>
    <row r="73" spans="1:9" ht="15" customHeight="1" x14ac:dyDescent="0.2">
      <c r="A73" s="1985"/>
      <c r="B73" s="1985"/>
      <c r="C73" s="448" t="str">
        <f>F!C176</f>
        <v>5-30% of the ponded water.</v>
      </c>
      <c r="D73" s="383">
        <f>F!D176</f>
        <v>0</v>
      </c>
      <c r="E73" s="377">
        <v>4</v>
      </c>
      <c r="F73" s="380">
        <f t="shared" si="3"/>
        <v>0</v>
      </c>
      <c r="G73" s="257"/>
      <c r="H73" s="1911"/>
      <c r="I73" s="2009"/>
    </row>
    <row r="74" spans="1:9" ht="15" customHeight="1" x14ac:dyDescent="0.2">
      <c r="A74" s="1985"/>
      <c r="B74" s="1985"/>
      <c r="C74" s="448" t="str">
        <f>F!C177</f>
        <v>30-70% of the ponded water.</v>
      </c>
      <c r="D74" s="383">
        <f>F!D177</f>
        <v>0</v>
      </c>
      <c r="E74" s="377">
        <v>3</v>
      </c>
      <c r="F74" s="380">
        <f t="shared" si="3"/>
        <v>0</v>
      </c>
      <c r="G74" s="257"/>
      <c r="H74" s="1911"/>
      <c r="I74" s="2009"/>
    </row>
    <row r="75" spans="1:9" ht="15" customHeight="1" x14ac:dyDescent="0.2">
      <c r="A75" s="1985"/>
      <c r="B75" s="1985"/>
      <c r="C75" s="448" t="str">
        <f>F!C178</f>
        <v>70-99% of the ponded water.</v>
      </c>
      <c r="D75" s="383">
        <f>F!D178</f>
        <v>0</v>
      </c>
      <c r="E75" s="377">
        <v>2</v>
      </c>
      <c r="F75" s="380">
        <f t="shared" si="3"/>
        <v>0</v>
      </c>
      <c r="G75" s="257"/>
      <c r="H75" s="1911"/>
      <c r="I75" s="2009"/>
    </row>
    <row r="76" spans="1:9" ht="15" customHeight="1" thickBot="1" x14ac:dyDescent="0.25">
      <c r="A76" s="2005"/>
      <c r="B76" s="2005"/>
      <c r="C76" s="448" t="str">
        <f>F!C179</f>
        <v xml:space="preserve">100% of the ponded water. </v>
      </c>
      <c r="D76" s="383">
        <f>F!D179</f>
        <v>0</v>
      </c>
      <c r="E76" s="380">
        <v>1</v>
      </c>
      <c r="F76" s="380">
        <f t="shared" si="3"/>
        <v>0</v>
      </c>
      <c r="G76" s="433"/>
      <c r="H76" s="1978"/>
      <c r="I76" s="2010"/>
    </row>
    <row r="77" spans="1:9" ht="39" thickBot="1" x14ac:dyDescent="0.25">
      <c r="A77" s="1984" t="str">
        <f>F!A180</f>
        <v>F34</v>
      </c>
      <c r="B77" s="1984" t="str">
        <f>F!B180</f>
        <v>Predominant Width of Vegetated Zone within Wetland</v>
      </c>
      <c r="C77" s="90" t="str">
        <f>F!C180</f>
        <v>At the time during the growing season when the AA's water level is lowest, the average width of vegetated area in the AA that separates adjoining uplands from open water within the AA is:</v>
      </c>
      <c r="D77" s="372"/>
      <c r="E77" s="376"/>
      <c r="F77" s="262"/>
      <c r="G77" s="225" t="str">
        <f>IF((AllSat1&gt;0),"",IF((OpenW=0),"", IF((SmallAA=1),"", MAX(F78:F83)/MAX(E78:E83))))</f>
        <v/>
      </c>
      <c r="H77" s="1867" t="s">
        <v>79</v>
      </c>
      <c r="I77" s="2132" t="s">
        <v>1233</v>
      </c>
    </row>
    <row r="78" spans="1:9" ht="15" customHeight="1" x14ac:dyDescent="0.2">
      <c r="A78" s="1985"/>
      <c r="B78" s="1985"/>
      <c r="C78" s="426" t="str">
        <f>F!C181</f>
        <v>&lt;1 m</v>
      </c>
      <c r="D78" s="180">
        <f>F!D181</f>
        <v>0</v>
      </c>
      <c r="E78" s="377">
        <v>5</v>
      </c>
      <c r="F78" s="377">
        <f t="shared" ref="F78:F83" si="4">D78*E78</f>
        <v>0</v>
      </c>
      <c r="G78" s="202"/>
      <c r="H78" s="1911"/>
      <c r="I78" s="1847"/>
    </row>
    <row r="79" spans="1:9" ht="15" customHeight="1" x14ac:dyDescent="0.2">
      <c r="A79" s="1985"/>
      <c r="B79" s="1985"/>
      <c r="C79" s="362" t="str">
        <f>F!C182</f>
        <v>1 - 9 m</v>
      </c>
      <c r="D79" s="354">
        <f>F!D182</f>
        <v>0</v>
      </c>
      <c r="E79" s="377">
        <v>4</v>
      </c>
      <c r="F79" s="377">
        <f t="shared" si="4"/>
        <v>0</v>
      </c>
      <c r="G79" s="257"/>
      <c r="H79" s="1911"/>
      <c r="I79" s="1847"/>
    </row>
    <row r="80" spans="1:9" ht="15" customHeight="1" x14ac:dyDescent="0.2">
      <c r="A80" s="1985"/>
      <c r="B80" s="1985"/>
      <c r="C80" s="362" t="str">
        <f>F!C183</f>
        <v>10 - 29 m</v>
      </c>
      <c r="D80" s="354">
        <f>F!D183</f>
        <v>0</v>
      </c>
      <c r="E80" s="377">
        <v>3</v>
      </c>
      <c r="F80" s="377">
        <f t="shared" si="4"/>
        <v>0</v>
      </c>
      <c r="G80" s="257"/>
      <c r="H80" s="1911"/>
      <c r="I80" s="1847"/>
    </row>
    <row r="81" spans="1:9" ht="15" customHeight="1" x14ac:dyDescent="0.2">
      <c r="A81" s="1985"/>
      <c r="B81" s="1985"/>
      <c r="C81" s="362" t="str">
        <f>F!C184</f>
        <v>30 - 49 m</v>
      </c>
      <c r="D81" s="354">
        <f>F!D184</f>
        <v>0</v>
      </c>
      <c r="E81" s="377">
        <v>2</v>
      </c>
      <c r="F81" s="377">
        <f t="shared" si="4"/>
        <v>0</v>
      </c>
      <c r="G81" s="257"/>
      <c r="H81" s="1911"/>
      <c r="I81" s="1847"/>
    </row>
    <row r="82" spans="1:9" ht="15" customHeight="1" x14ac:dyDescent="0.2">
      <c r="A82" s="1985"/>
      <c r="B82" s="1985"/>
      <c r="C82" s="362" t="str">
        <f>F!C185</f>
        <v>50 - 100 m</v>
      </c>
      <c r="D82" s="354">
        <f>F!D185</f>
        <v>0</v>
      </c>
      <c r="E82" s="380">
        <v>1</v>
      </c>
      <c r="F82" s="380">
        <f t="shared" si="4"/>
        <v>0</v>
      </c>
      <c r="G82" s="721"/>
      <c r="H82" s="1911"/>
      <c r="I82" s="1847"/>
    </row>
    <row r="83" spans="1:9" ht="15" customHeight="1" thickBot="1" x14ac:dyDescent="0.25">
      <c r="A83" s="2005"/>
      <c r="B83" s="2005"/>
      <c r="C83" s="82" t="str">
        <f>F!C186</f>
        <v>&gt; 100 m</v>
      </c>
      <c r="D83" s="94">
        <f>F!D186</f>
        <v>0</v>
      </c>
      <c r="E83" s="244">
        <v>0</v>
      </c>
      <c r="F83" s="244">
        <f t="shared" si="4"/>
        <v>0</v>
      </c>
      <c r="G83" s="258"/>
      <c r="H83" s="1978"/>
      <c r="I83" s="1848"/>
    </row>
    <row r="84" spans="1:9" ht="30" customHeight="1" thickBot="1" x14ac:dyDescent="0.25">
      <c r="A84" s="1984" t="str">
        <f>F!A199</f>
        <v>F37</v>
      </c>
      <c r="B84" s="1984" t="str">
        <f>F!B199</f>
        <v>Interspersion of Robust Emergents &amp; Open Water</v>
      </c>
      <c r="C84" s="450" t="str">
        <f>F!C199</f>
        <v>During most of the part of the growing season when water is present, the spatial pattern of robust herbaceous vegetation (e.g., cattail, tall bulrush, buckbean) is mostly:</v>
      </c>
      <c r="D84" s="372"/>
      <c r="E84" s="376"/>
      <c r="F84" s="262"/>
      <c r="G84" s="225">
        <f>IF((AllSat1&gt;0),"",IF((NoPonded=1),"",IF((NoOpenPonded+NoOpenPonded1&gt;0),"",IF((AllOpenPond=1),"", IF((SmallAA=1),"", MAX(F85:F87)/MAX(E85:E87))))))</f>
        <v>0</v>
      </c>
      <c r="H84" s="1867" t="s">
        <v>479</v>
      </c>
      <c r="I84" s="2008" t="s">
        <v>1234</v>
      </c>
    </row>
    <row r="85" spans="1:9" ht="27" customHeight="1" x14ac:dyDescent="0.2">
      <c r="A85" s="1985"/>
      <c r="B85" s="1985"/>
      <c r="C85" s="451" t="str">
        <f>F!C200</f>
        <v>Scattered.  More than 30% of such vegetation forms small islands or corridors surrounded by water.</v>
      </c>
      <c r="D85" s="186">
        <f>F!D200</f>
        <v>0</v>
      </c>
      <c r="E85" s="377">
        <v>2</v>
      </c>
      <c r="F85" s="380">
        <f t="shared" si="3"/>
        <v>0</v>
      </c>
      <c r="G85" s="257"/>
      <c r="H85" s="1911"/>
      <c r="I85" s="1847"/>
    </row>
    <row r="86" spans="1:9" ht="15" customHeight="1" x14ac:dyDescent="0.2">
      <c r="A86" s="1985"/>
      <c r="B86" s="1985"/>
      <c r="C86" s="451" t="str">
        <f>F!C201</f>
        <v>Intermediate.</v>
      </c>
      <c r="D86" s="186">
        <f>F!D201</f>
        <v>0</v>
      </c>
      <c r="E86" s="377">
        <v>1</v>
      </c>
      <c r="F86" s="380">
        <f t="shared" si="3"/>
        <v>0</v>
      </c>
      <c r="G86" s="257"/>
      <c r="H86" s="1911"/>
      <c r="I86" s="1847"/>
    </row>
    <row r="87" spans="1:9" ht="27" customHeight="1" thickBot="1" x14ac:dyDescent="0.25">
      <c r="A87" s="2005"/>
      <c r="B87" s="2005"/>
      <c r="C87" s="451" t="str">
        <f>F!C202</f>
        <v>Clumped. More than 70% of such vegetation is in bands along the wetland perimeter or is clumped at one or a few sides of the surface water area.</v>
      </c>
      <c r="D87" s="186">
        <f>F!D202</f>
        <v>0</v>
      </c>
      <c r="E87" s="244">
        <v>0</v>
      </c>
      <c r="F87" s="244">
        <f t="shared" si="3"/>
        <v>0</v>
      </c>
      <c r="G87" s="258"/>
      <c r="H87" s="1978"/>
      <c r="I87" s="1848"/>
    </row>
    <row r="88" spans="1:9" ht="30" customHeight="1" thickBot="1" x14ac:dyDescent="0.25">
      <c r="A88" s="2073" t="str">
        <f>F!A227</f>
        <v>F47</v>
      </c>
      <c r="B88" s="2073" t="str">
        <f>F!B227</f>
        <v>Through Flow Pattern</v>
      </c>
      <c r="C88" s="90" t="str">
        <f>F!C227</f>
        <v>During its travel through the AA at the time of peak annual flow, water arriving in channels: [select only the ONE encountered by most of the incoming water].</v>
      </c>
      <c r="D88" s="372"/>
      <c r="E88" s="376"/>
      <c r="F88" s="262"/>
      <c r="G88" s="225" t="str">
        <f>IF((AllSat1&gt;0),"", IF((Inflows=0),"",MAX(F89:F93)/MAX(E89:E93)))</f>
        <v/>
      </c>
      <c r="H88" s="1867" t="s">
        <v>82</v>
      </c>
      <c r="I88" s="2132" t="s">
        <v>1235</v>
      </c>
    </row>
    <row r="89" spans="1:9" ht="42.75" customHeight="1" x14ac:dyDescent="0.2">
      <c r="A89" s="2053"/>
      <c r="B89" s="2053"/>
      <c r="C89" s="110" t="str">
        <f>F!C228</f>
        <v>Does not bump into plant stems as it travels through the AA.  Nearly all the water continues to travel in unvegetated (often incised) channels that have minimal contact with wetland vegetation, or through a zone of open water such as an instream pond or lake.</v>
      </c>
      <c r="D89" s="382">
        <f>F!D228</f>
        <v>0</v>
      </c>
      <c r="E89" s="377">
        <v>1</v>
      </c>
      <c r="F89" s="377">
        <f>D89*E89</f>
        <v>0</v>
      </c>
      <c r="G89" s="202"/>
      <c r="H89" s="1911"/>
      <c r="I89" s="1847"/>
    </row>
    <row r="90" spans="1:9" ht="17.25" customHeight="1" x14ac:dyDescent="0.2">
      <c r="A90" s="2053"/>
      <c r="B90" s="2053"/>
      <c r="C90" s="456" t="str">
        <f>F!C229</f>
        <v>bumps into herbaceous vegetation but mostly remains in fairly straight channels.</v>
      </c>
      <c r="D90" s="584">
        <f>F!D229</f>
        <v>0</v>
      </c>
      <c r="E90" s="377">
        <v>2</v>
      </c>
      <c r="F90" s="377">
        <f>D90*E90</f>
        <v>0</v>
      </c>
      <c r="G90" s="257"/>
      <c r="H90" s="1911"/>
      <c r="I90" s="1847"/>
    </row>
    <row r="91" spans="1:9" ht="27" customHeight="1" x14ac:dyDescent="0.2">
      <c r="A91" s="2053"/>
      <c r="B91" s="2053"/>
      <c r="C91" s="457" t="str">
        <f>F!C230</f>
        <v>bumps into herbaceous vegetation and mostly spreads throughout, or is in widely  meandering, multi-branched, or braided channels.</v>
      </c>
      <c r="D91" s="354">
        <f>F!D230</f>
        <v>0</v>
      </c>
      <c r="E91" s="377">
        <v>4</v>
      </c>
      <c r="F91" s="377">
        <f>D91*E91</f>
        <v>0</v>
      </c>
      <c r="G91" s="257"/>
      <c r="H91" s="1911"/>
      <c r="I91" s="1847"/>
    </row>
    <row r="92" spans="1:9" ht="19.5" customHeight="1" x14ac:dyDescent="0.2">
      <c r="A92" s="2053"/>
      <c r="B92" s="2053"/>
      <c r="C92" s="110" t="str">
        <f>F!C231</f>
        <v>bumps into tree trunks and/or shrub stems but mostly remains in fairly straight channels.</v>
      </c>
      <c r="D92" s="382">
        <f>F!D231</f>
        <v>0</v>
      </c>
      <c r="E92" s="377">
        <v>3</v>
      </c>
      <c r="F92" s="377">
        <f>D92*E92</f>
        <v>0</v>
      </c>
      <c r="G92" s="257"/>
      <c r="H92" s="1911"/>
      <c r="I92" s="1847"/>
    </row>
    <row r="93" spans="1:9" ht="27" customHeight="1" thickBot="1" x14ac:dyDescent="0.25">
      <c r="A93" s="2074"/>
      <c r="B93" s="2074"/>
      <c r="C93" s="106" t="str">
        <f>F!C232</f>
        <v>bumps into tree trunks and/or shrub stems and follows a fairly indirect path from entrance to exit (meandering, multi-branched, or braided).</v>
      </c>
      <c r="D93" s="94">
        <f>F!D232</f>
        <v>0</v>
      </c>
      <c r="E93" s="244">
        <v>4</v>
      </c>
      <c r="F93" s="244">
        <f>D93*E93</f>
        <v>0</v>
      </c>
      <c r="G93" s="258"/>
      <c r="H93" s="1978"/>
      <c r="I93" s="1848"/>
    </row>
    <row r="94" spans="1:9" ht="77.25" thickBot="1" x14ac:dyDescent="0.25">
      <c r="A94" s="1867" t="str">
        <f>F!A233</f>
        <v>F48</v>
      </c>
      <c r="B94" s="2073" t="str">
        <f>F!B233</f>
        <v>Channel Connection &amp; Outflow Duration</v>
      </c>
      <c r="C94" s="877" t="str">
        <f>F!C233</f>
        <v>The most persistent surface water connection (outlet channel or pipe, ditch, or overbank water exchange) between the AA and the closest larger water body located downslope is: [Note: If the AA represents only part of a wetland, answer this according to whichever is the least permanent surface connection: the one between the AA and the rest of the wetland, or the surface connection between the wetland and a mapped stream or lake located within 200 m downslope from the wetland ]</v>
      </c>
      <c r="D94" s="437"/>
      <c r="E94" s="239"/>
      <c r="F94" s="259"/>
      <c r="G94" s="219">
        <f>IF((AllSat1&gt;0),"",MAX(F95:F99)/MAX(E95:E99))</f>
        <v>0</v>
      </c>
      <c r="H94" s="1867" t="s">
        <v>80</v>
      </c>
      <c r="I94" s="2132" t="s">
        <v>1348</v>
      </c>
    </row>
    <row r="95" spans="1:9" ht="15" customHeight="1" x14ac:dyDescent="0.2">
      <c r="A95" s="1911"/>
      <c r="B95" s="2053"/>
      <c r="C95" s="426" t="str">
        <f>F!C234</f>
        <v>persistent (&gt;9 months/year, including times when frozen).</v>
      </c>
      <c r="D95" s="180">
        <f>F!D234</f>
        <v>0</v>
      </c>
      <c r="E95" s="377">
        <v>5</v>
      </c>
      <c r="F95" s="377">
        <f>D95*E95</f>
        <v>0</v>
      </c>
      <c r="G95" s="202"/>
      <c r="H95" s="1911"/>
      <c r="I95" s="1847"/>
    </row>
    <row r="96" spans="1:9" ht="25.5" x14ac:dyDescent="0.2">
      <c r="A96" s="1911"/>
      <c r="B96" s="2053"/>
      <c r="C96" s="362" t="str">
        <f>F!C235</f>
        <v>seasonal (14 days to 9 months/year, not necessarily consecutive, including times when frozen).</v>
      </c>
      <c r="D96" s="382">
        <f>F!D235</f>
        <v>0</v>
      </c>
      <c r="E96" s="377">
        <v>4</v>
      </c>
      <c r="F96" s="377">
        <f>D96*E96</f>
        <v>0</v>
      </c>
      <c r="G96" s="257"/>
      <c r="H96" s="1911"/>
      <c r="I96" s="1847"/>
    </row>
    <row r="97" spans="1:9" ht="15" customHeight="1" x14ac:dyDescent="0.2">
      <c r="A97" s="1911"/>
      <c r="B97" s="2053"/>
      <c r="C97" s="362" t="str">
        <f>F!C236</f>
        <v>temporary (&lt;14 days, not necessarily consecutive, but must be unfrozen).</v>
      </c>
      <c r="D97" s="382">
        <f>F!D236</f>
        <v>0</v>
      </c>
      <c r="E97" s="377">
        <v>3</v>
      </c>
      <c r="F97" s="377">
        <f>D97*E97</f>
        <v>0</v>
      </c>
      <c r="G97" s="257"/>
      <c r="H97" s="1911"/>
      <c r="I97" s="1847"/>
    </row>
    <row r="98" spans="1:9" ht="38.25" x14ac:dyDescent="0.2">
      <c r="A98" s="1911"/>
      <c r="B98" s="2053"/>
      <c r="C98" s="362" t="str">
        <f>F!C237</f>
        <v xml:space="preserve">none -- but maps show a stream or other water body that is downslope from the AA and within a distance that is less than the AA's length.  If so, mark "1" here and SKIP TO F50 (Groundwater). </v>
      </c>
      <c r="D98" s="382">
        <f>F!D237</f>
        <v>0</v>
      </c>
      <c r="E98" s="377">
        <v>1</v>
      </c>
      <c r="F98" s="377">
        <f>D98*E98</f>
        <v>0</v>
      </c>
      <c r="G98" s="257"/>
      <c r="H98" s="1911"/>
      <c r="I98" s="1847"/>
    </row>
    <row r="99" spans="1:9" ht="41.25" customHeight="1" thickBot="1" x14ac:dyDescent="0.25">
      <c r="A99" s="1978"/>
      <c r="B99" s="2074"/>
      <c r="C99" s="361" t="str">
        <f>F!C238</f>
        <v xml:space="preserve">no surface water flows out of the wetland except possibly during extreme events (&lt;once per 10 years). Or, water flows only into a wetland, ditch, or lake that lacks an outlet.  If so, mark "1" here and SKIP TO F50 (Groundwater). </v>
      </c>
      <c r="D99" s="383">
        <f>F!D238</f>
        <v>0</v>
      </c>
      <c r="E99" s="384">
        <v>0</v>
      </c>
      <c r="F99" s="380">
        <f>D99*E99</f>
        <v>0</v>
      </c>
      <c r="G99" s="433"/>
      <c r="H99" s="1978"/>
      <c r="I99" s="1848"/>
    </row>
    <row r="100" spans="1:9" ht="30" customHeight="1" thickBot="1" x14ac:dyDescent="0.25">
      <c r="A100" s="2073" t="str">
        <f>F!A239</f>
        <v>F49</v>
      </c>
      <c r="B100" s="2073" t="str">
        <f>F!B239</f>
        <v>Outflow Confinement</v>
      </c>
      <c r="C100" s="90" t="str">
        <f>F!C239</f>
        <v>During major runoff events, in the places where surface water exits the AA or connected waters nearby, it:</v>
      </c>
      <c r="D100" s="372"/>
      <c r="E100" s="376"/>
      <c r="F100" s="262"/>
      <c r="G100" s="225">
        <f>IF((OutNone + OutNone1&gt;0),"",MAX(F101:F103)/MAX(E101:E103))</f>
        <v>0</v>
      </c>
      <c r="H100" s="1867" t="s">
        <v>81</v>
      </c>
      <c r="I100" s="2132" t="s">
        <v>1236</v>
      </c>
    </row>
    <row r="101" spans="1:9" ht="42" customHeight="1" x14ac:dyDescent="0.2">
      <c r="A101" s="2053"/>
      <c r="B101" s="2053"/>
      <c r="C101" s="426" t="str">
        <f>F!C240</f>
        <v>mostly passes through a pipe, culvert, narrowly breached dike, berm, beaver dam, or other partial obstruction (other than natural topography) that does not appear to drain the wetland artificially during most of the growing season.</v>
      </c>
      <c r="D101" s="382">
        <f>F!D240</f>
        <v>0</v>
      </c>
      <c r="E101" s="377">
        <v>0</v>
      </c>
      <c r="F101" s="377">
        <f>D101*E101</f>
        <v>0</v>
      </c>
      <c r="G101" s="202"/>
      <c r="H101" s="1911"/>
      <c r="I101" s="1847"/>
    </row>
    <row r="102" spans="1:9" ht="27" customHeight="1" x14ac:dyDescent="0.2">
      <c r="A102" s="2053"/>
      <c r="B102" s="2053"/>
      <c r="C102" s="362" t="str">
        <f>F!C241</f>
        <v>leaves through natural exits (channels or diffuse outflow), not mainly through artificial or temporary features.</v>
      </c>
      <c r="D102" s="382">
        <f>F!D241</f>
        <v>0</v>
      </c>
      <c r="E102" s="377">
        <v>1</v>
      </c>
      <c r="F102" s="377">
        <f>D102*E102</f>
        <v>0</v>
      </c>
      <c r="G102" s="267"/>
      <c r="H102" s="1911"/>
      <c r="I102" s="1847"/>
    </row>
    <row r="103" spans="1:9" ht="39" thickBot="1" x14ac:dyDescent="0.25">
      <c r="A103" s="2074"/>
      <c r="B103" s="2074"/>
      <c r="C103" s="82" t="str">
        <f>F!C242</f>
        <v>is exported more quickly than usual due to ditches or pipes within the AA (or connected to its outlet or within 10 m of the AA's edge) which drain the wetland artificially, or water is pumped out of the AA.</v>
      </c>
      <c r="D103" s="94">
        <f>F!D242</f>
        <v>0</v>
      </c>
      <c r="E103" s="244">
        <v>2</v>
      </c>
      <c r="F103" s="244">
        <f>D103*E103</f>
        <v>0</v>
      </c>
      <c r="G103" s="258"/>
      <c r="H103" s="1978"/>
      <c r="I103" s="1848"/>
    </row>
    <row r="104" spans="1:9" ht="21" customHeight="1" thickBot="1" x14ac:dyDescent="0.25">
      <c r="A104" s="2073" t="str">
        <f>F!A247</f>
        <v>F51</v>
      </c>
      <c r="B104" s="2073" t="str">
        <f>F!B247</f>
        <v>Internal Gradient</v>
      </c>
      <c r="C104" s="90" t="str">
        <f>F!C247</f>
        <v>The gradient along most of the flow path within the AA is:</v>
      </c>
      <c r="D104" s="372"/>
      <c r="E104" s="376"/>
      <c r="F104" s="262"/>
      <c r="G104" s="225">
        <f>MAX(F105:F108)/MAX(E105:E108)</f>
        <v>0</v>
      </c>
      <c r="H104" s="1867" t="s">
        <v>86</v>
      </c>
      <c r="I104" s="2132" t="s">
        <v>49</v>
      </c>
    </row>
    <row r="105" spans="1:9" ht="27" customHeight="1" x14ac:dyDescent="0.2">
      <c r="A105" s="2053"/>
      <c r="B105" s="2053"/>
      <c r="C105" s="426" t="str">
        <f>F!C248</f>
        <v>&lt;2%, or, no slope is ever apparent (i.e., flat). Or, the wetland is in a depression or pond with no inlet and no outlet.</v>
      </c>
      <c r="D105" s="354">
        <f>F!D248</f>
        <v>0</v>
      </c>
      <c r="E105" s="377">
        <v>0</v>
      </c>
      <c r="F105" s="377">
        <f>D105*E105</f>
        <v>0</v>
      </c>
      <c r="G105" s="202"/>
      <c r="H105" s="1911"/>
      <c r="I105" s="1847"/>
    </row>
    <row r="106" spans="1:9" ht="15" customHeight="1" x14ac:dyDescent="0.2">
      <c r="A106" s="2053"/>
      <c r="B106" s="2053"/>
      <c r="C106" s="362" t="str">
        <f>F!C249</f>
        <v>2-5%</v>
      </c>
      <c r="D106" s="354">
        <f>F!D249</f>
        <v>0</v>
      </c>
      <c r="E106" s="377">
        <v>2</v>
      </c>
      <c r="F106" s="377">
        <f>D106*E106</f>
        <v>0</v>
      </c>
      <c r="G106" s="257"/>
      <c r="H106" s="1911"/>
      <c r="I106" s="1847"/>
    </row>
    <row r="107" spans="1:9" ht="15" customHeight="1" x14ac:dyDescent="0.2">
      <c r="A107" s="2053"/>
      <c r="B107" s="2053"/>
      <c r="C107" s="362" t="str">
        <f>F!C250</f>
        <v>6-10%</v>
      </c>
      <c r="D107" s="354">
        <f>F!D250</f>
        <v>0</v>
      </c>
      <c r="E107" s="377">
        <v>3</v>
      </c>
      <c r="F107" s="377">
        <f>D107*E107</f>
        <v>0</v>
      </c>
      <c r="G107" s="257"/>
      <c r="H107" s="1911"/>
      <c r="I107" s="1847"/>
    </row>
    <row r="108" spans="1:9" ht="15" customHeight="1" thickBot="1" x14ac:dyDescent="0.25">
      <c r="A108" s="2074"/>
      <c r="B108" s="2074"/>
      <c r="C108" s="82" t="str">
        <f>F!C251</f>
        <v>&gt;10%</v>
      </c>
      <c r="D108" s="94">
        <f>F!D251</f>
        <v>0</v>
      </c>
      <c r="E108" s="244">
        <v>4</v>
      </c>
      <c r="F108" s="244">
        <f>D108*E108</f>
        <v>0</v>
      </c>
      <c r="G108" s="258"/>
      <c r="H108" s="1978"/>
      <c r="I108" s="1848"/>
    </row>
    <row r="109" spans="1:9" ht="39" thickBot="1" x14ac:dyDescent="0.25">
      <c r="A109" s="2067" t="str">
        <f>F!A262</f>
        <v>F55</v>
      </c>
      <c r="B109" s="2067" t="str">
        <f>F!B262</f>
        <v>New or Expanded Wetland</v>
      </c>
      <c r="C109" s="453" t="str">
        <f>F!C262</f>
        <v>Part or all of the AA resulted from human actions that persistently expanded a naturally occurring wetland or created a wetland where there previously was none (e.g., by excavation, impoundment):</v>
      </c>
      <c r="D109" s="585"/>
      <c r="E109" s="239"/>
      <c r="F109" s="259"/>
      <c r="G109" s="219">
        <f>IF((D115=1),"",MAX(F110:F114)/MAX(E110:E114))</f>
        <v>0</v>
      </c>
      <c r="H109" s="1867" t="s">
        <v>87</v>
      </c>
      <c r="I109" s="2008" t="s">
        <v>1349</v>
      </c>
    </row>
    <row r="110" spans="1:9" ht="15" customHeight="1" x14ac:dyDescent="0.2">
      <c r="A110" s="2068"/>
      <c r="B110" s="2068"/>
      <c r="C110" s="428" t="str">
        <f>F!C263</f>
        <v>No</v>
      </c>
      <c r="D110" s="586">
        <f>F!D263</f>
        <v>0</v>
      </c>
      <c r="E110" s="380">
        <v>5</v>
      </c>
      <c r="F110" s="377">
        <f>D110*E110</f>
        <v>0</v>
      </c>
      <c r="G110" s="202"/>
      <c r="H110" s="1911"/>
      <c r="I110" s="1847"/>
    </row>
    <row r="111" spans="1:9" ht="15" customHeight="1" x14ac:dyDescent="0.2">
      <c r="A111" s="2068"/>
      <c r="B111" s="2068"/>
      <c r="C111" s="429" t="str">
        <f>F!C264</f>
        <v>yes, and created or expanded 20 - 100 years ago .</v>
      </c>
      <c r="D111" s="587">
        <f>F!D264</f>
        <v>0</v>
      </c>
      <c r="E111" s="380">
        <v>2</v>
      </c>
      <c r="F111" s="377">
        <f>D111*E111</f>
        <v>0</v>
      </c>
      <c r="G111" s="257"/>
      <c r="H111" s="1911"/>
      <c r="I111" s="1847"/>
    </row>
    <row r="112" spans="1:9" ht="15" customHeight="1" x14ac:dyDescent="0.2">
      <c r="A112" s="2068"/>
      <c r="B112" s="2068"/>
      <c r="C112" s="429" t="str">
        <f>F!C265</f>
        <v>yes, and created or expanded 3-20 years ago.</v>
      </c>
      <c r="D112" s="587">
        <f>F!D265</f>
        <v>0</v>
      </c>
      <c r="E112" s="380">
        <v>1</v>
      </c>
      <c r="F112" s="377">
        <f>D112*E112</f>
        <v>0</v>
      </c>
      <c r="G112" s="257"/>
      <c r="H112" s="1911"/>
      <c r="I112" s="1847"/>
    </row>
    <row r="113" spans="1:11" ht="15" customHeight="1" x14ac:dyDescent="0.2">
      <c r="A113" s="2068"/>
      <c r="B113" s="2068"/>
      <c r="C113" s="429" t="str">
        <f>F!C266</f>
        <v>yes, and created or expanded within last 3 years.</v>
      </c>
      <c r="D113" s="587">
        <f>F!D266</f>
        <v>0</v>
      </c>
      <c r="E113" s="380">
        <v>0</v>
      </c>
      <c r="F113" s="377">
        <f>D113*E113</f>
        <v>0</v>
      </c>
      <c r="G113" s="257"/>
      <c r="H113" s="1911"/>
      <c r="I113" s="1847"/>
    </row>
    <row r="114" spans="1:11" ht="15" customHeight="1" x14ac:dyDescent="0.2">
      <c r="A114" s="2068"/>
      <c r="B114" s="2068"/>
      <c r="C114" s="429" t="str">
        <f>F!C267</f>
        <v>yes, but time of origin unknown.</v>
      </c>
      <c r="D114" s="587">
        <f>F!D267</f>
        <v>0</v>
      </c>
      <c r="E114" s="380">
        <v>1</v>
      </c>
      <c r="F114" s="377">
        <f>D114*E114</f>
        <v>0</v>
      </c>
      <c r="G114" s="257"/>
      <c r="H114" s="1911"/>
      <c r="I114" s="1847"/>
    </row>
    <row r="115" spans="1:11" ht="15" customHeight="1" thickBot="1" x14ac:dyDescent="0.25">
      <c r="A115" s="2069"/>
      <c r="B115" s="2068"/>
      <c r="C115" s="719" t="str">
        <f>F!C268</f>
        <v>unknown if new or expanded within 20 years or not.</v>
      </c>
      <c r="D115" s="587">
        <f>F!D268</f>
        <v>0</v>
      </c>
      <c r="E115" s="380"/>
      <c r="F115" s="720"/>
      <c r="G115" s="721"/>
      <c r="H115" s="1911"/>
      <c r="I115" s="1848"/>
    </row>
    <row r="116" spans="1:11" ht="21" customHeight="1" thickBot="1" x14ac:dyDescent="0.25">
      <c r="A116" s="2067" t="str">
        <f>F!A269</f>
        <v>F56</v>
      </c>
      <c r="B116" s="2067" t="str">
        <f>F!B269</f>
        <v>Burn History</v>
      </c>
      <c r="C116" s="726" t="str">
        <f>F!C269</f>
        <v>More than 1% of the AA's previously vegetated area:</v>
      </c>
      <c r="D116" s="376"/>
      <c r="E116" s="376"/>
      <c r="F116" s="376"/>
      <c r="G116" s="784">
        <f>MAX(F117:F120)/MAX(E117:E120)</f>
        <v>0</v>
      </c>
      <c r="H116" s="2011" t="s">
        <v>1720</v>
      </c>
      <c r="I116" s="2000" t="s">
        <v>1719</v>
      </c>
    </row>
    <row r="117" spans="1:11" ht="15" customHeight="1" x14ac:dyDescent="0.2">
      <c r="A117" s="2068"/>
      <c r="B117" s="2068"/>
      <c r="C117" s="725" t="str">
        <f>F!C270</f>
        <v>burned within past 5 years.</v>
      </c>
      <c r="D117" s="781">
        <f>F!D270</f>
        <v>0</v>
      </c>
      <c r="E117" s="722">
        <v>0</v>
      </c>
      <c r="F117" s="722">
        <f>D117*E117</f>
        <v>0</v>
      </c>
      <c r="G117" s="723"/>
      <c r="H117" s="2040"/>
      <c r="I117" s="1989"/>
    </row>
    <row r="118" spans="1:11" ht="15" customHeight="1" x14ac:dyDescent="0.2">
      <c r="A118" s="2068"/>
      <c r="B118" s="2068"/>
      <c r="C118" s="724" t="str">
        <f>F!C271</f>
        <v>burned 6-10 years ago.</v>
      </c>
      <c r="D118" s="782">
        <f>F!D271</f>
        <v>0</v>
      </c>
      <c r="E118" s="722">
        <v>1</v>
      </c>
      <c r="F118" s="722">
        <f>D118*E118</f>
        <v>0</v>
      </c>
      <c r="G118" s="723"/>
      <c r="H118" s="2040"/>
      <c r="I118" s="1989"/>
    </row>
    <row r="119" spans="1:11" ht="15" customHeight="1" x14ac:dyDescent="0.2">
      <c r="A119" s="2068"/>
      <c r="B119" s="2068"/>
      <c r="C119" s="724" t="str">
        <f>F!C272</f>
        <v>burned 11-30 years ago.</v>
      </c>
      <c r="D119" s="782">
        <f>F!D272</f>
        <v>0</v>
      </c>
      <c r="E119" s="722">
        <v>2</v>
      </c>
      <c r="F119" s="722">
        <f>D119*E119</f>
        <v>0</v>
      </c>
      <c r="G119" s="723"/>
      <c r="H119" s="2040"/>
      <c r="I119" s="1989"/>
    </row>
    <row r="120" spans="1:11" ht="15" customHeight="1" thickBot="1" x14ac:dyDescent="0.25">
      <c r="A120" s="2069"/>
      <c r="B120" s="2069"/>
      <c r="C120" s="727" t="str">
        <f>F!C273</f>
        <v>burned &gt;30 years ago, or no evidence of a burn and no data.</v>
      </c>
      <c r="D120" s="783">
        <f>F!D273</f>
        <v>0</v>
      </c>
      <c r="E120" s="244">
        <v>3</v>
      </c>
      <c r="F120" s="244">
        <f>D120*E120</f>
        <v>0</v>
      </c>
      <c r="G120" s="728"/>
      <c r="H120" s="2041"/>
      <c r="I120" s="1990"/>
    </row>
    <row r="121" spans="1:11" ht="21" customHeight="1" thickBot="1" x14ac:dyDescent="0.25">
      <c r="A121" s="940"/>
      <c r="B121" s="940"/>
      <c r="D121" s="489"/>
      <c r="E121" s="489"/>
      <c r="F121" s="489"/>
      <c r="G121" s="489"/>
      <c r="H121" s="79" t="s">
        <v>406</v>
      </c>
      <c r="I121" s="79"/>
    </row>
    <row r="122" spans="1:11" ht="21" customHeight="1" thickBot="1" x14ac:dyDescent="0.25">
      <c r="A122" s="940"/>
      <c r="B122" s="940"/>
      <c r="C122" s="391" t="s">
        <v>725</v>
      </c>
      <c r="D122" s="610"/>
      <c r="E122" s="610"/>
      <c r="F122" s="610"/>
      <c r="G122" s="610"/>
      <c r="H122" s="79"/>
      <c r="I122" s="79"/>
    </row>
    <row r="123" spans="1:11" ht="30" customHeight="1" thickBot="1" x14ac:dyDescent="0.25">
      <c r="A123" s="940"/>
      <c r="B123" s="79"/>
      <c r="C123" s="1256" t="s">
        <v>2491</v>
      </c>
      <c r="D123" s="293"/>
      <c r="E123" s="293"/>
      <c r="F123" s="293"/>
      <c r="G123" s="1248">
        <f>AVERAGE(WetVegArea,OWpct6,SoilTex6,Moss6,Fluctu6,NewWet6,Burn6,VwidthAbs6)</f>
        <v>0</v>
      </c>
      <c r="H123" s="79"/>
      <c r="I123" s="1636"/>
      <c r="J123" s="140"/>
      <c r="K123" s="110"/>
    </row>
    <row r="124" spans="1:11" ht="21" customHeight="1" thickBot="1" x14ac:dyDescent="0.25">
      <c r="A124" s="940"/>
      <c r="B124" s="940"/>
      <c r="D124" s="827"/>
      <c r="E124" s="827"/>
      <c r="F124" s="827"/>
      <c r="G124" s="827"/>
      <c r="H124" s="79"/>
      <c r="I124" s="79"/>
      <c r="J124" s="441"/>
    </row>
    <row r="125" spans="1:11" ht="21" customHeight="1" thickBot="1" x14ac:dyDescent="0.25">
      <c r="A125" s="940"/>
      <c r="B125" s="940"/>
      <c r="C125" s="391" t="s">
        <v>726</v>
      </c>
      <c r="D125" s="1027"/>
      <c r="E125" s="1027"/>
      <c r="F125" s="1027"/>
      <c r="G125" s="1027"/>
      <c r="H125" s="79"/>
      <c r="I125" s="79"/>
      <c r="J125" s="441"/>
    </row>
    <row r="126" spans="1:11" ht="30" customHeight="1" thickBot="1" x14ac:dyDescent="0.25">
      <c r="A126" s="940"/>
      <c r="B126" s="1390"/>
      <c r="C126" s="310" t="s">
        <v>2469</v>
      </c>
      <c r="D126" s="1086"/>
      <c r="E126" s="293"/>
      <c r="F126" s="293"/>
      <c r="G126" s="285">
        <f>AVERAGE(GrowDD, Wettype6, Gradient6, Interspers6, ThruFlo6, Gcover6, PondedPct6, SeasWpct6, Shade6, Nfixer6)</f>
        <v>0</v>
      </c>
      <c r="H126" s="79"/>
      <c r="I126" s="79"/>
      <c r="J126" s="441"/>
    </row>
    <row r="127" spans="1:11" ht="21" customHeight="1" thickBot="1" x14ac:dyDescent="0.25">
      <c r="A127" s="1246"/>
      <c r="B127" s="10"/>
      <c r="D127" s="827"/>
      <c r="E127" s="827"/>
      <c r="F127" s="827"/>
      <c r="G127" s="827"/>
      <c r="H127" s="79"/>
      <c r="I127" s="79"/>
      <c r="J127" s="441"/>
    </row>
    <row r="128" spans="1:11" ht="21" customHeight="1" thickBot="1" x14ac:dyDescent="0.25">
      <c r="A128" s="1246"/>
      <c r="B128" s="1246"/>
      <c r="C128" s="391" t="s">
        <v>731</v>
      </c>
      <c r="D128" s="1027"/>
      <c r="E128" s="1027"/>
      <c r="F128" s="1027"/>
      <c r="G128" s="1027"/>
      <c r="H128" s="79"/>
      <c r="I128" s="79"/>
      <c r="J128" s="441"/>
    </row>
    <row r="129" spans="1:10" ht="21" customHeight="1" thickBot="1" x14ac:dyDescent="0.25">
      <c r="A129" s="1246"/>
      <c r="B129" s="1246"/>
      <c r="C129" s="83" t="s">
        <v>2353</v>
      </c>
      <c r="D129" s="507"/>
      <c r="E129" s="507"/>
      <c r="F129" s="507"/>
      <c r="G129" s="285">
        <f>AVERAGE(Constric6, OutDura6, RipFloodpl,WoodType6)</f>
        <v>0</v>
      </c>
      <c r="H129" s="79"/>
      <c r="I129" s="79"/>
      <c r="J129" s="441"/>
    </row>
    <row r="130" spans="1:10" ht="21" customHeight="1" thickBot="1" x14ac:dyDescent="0.25">
      <c r="A130" s="1246"/>
      <c r="B130" s="1246"/>
      <c r="D130" s="827"/>
      <c r="E130" s="827"/>
      <c r="F130" s="827"/>
      <c r="G130" s="827"/>
      <c r="H130" s="79"/>
      <c r="I130" s="79"/>
      <c r="J130" s="441"/>
    </row>
    <row r="131" spans="1:10" ht="21" customHeight="1" thickBot="1" x14ac:dyDescent="0.25">
      <c r="A131" s="1246"/>
      <c r="B131" s="1246"/>
      <c r="C131" s="639" t="s">
        <v>846</v>
      </c>
      <c r="D131" s="940"/>
      <c r="E131" s="940"/>
      <c r="F131" s="940"/>
      <c r="G131" s="940"/>
      <c r="H131" s="79"/>
      <c r="I131" s="79"/>
      <c r="J131" s="441"/>
    </row>
    <row r="132" spans="1:10" ht="21" customHeight="1" thickBot="1" x14ac:dyDescent="0.25">
      <c r="A132" s="1246"/>
      <c r="B132" s="1246"/>
      <c r="C132" s="459" t="s">
        <v>729</v>
      </c>
      <c r="D132" s="1027"/>
      <c r="E132" s="1027"/>
      <c r="F132" s="1027"/>
      <c r="G132" s="1027"/>
      <c r="H132" s="79"/>
      <c r="I132" s="79"/>
      <c r="J132" s="441"/>
    </row>
    <row r="133" spans="1:10" ht="21" customHeight="1" thickBot="1" x14ac:dyDescent="0.25">
      <c r="A133" s="1246"/>
      <c r="B133" s="1246"/>
      <c r="C133" s="83" t="s">
        <v>2424</v>
      </c>
      <c r="D133" s="507"/>
      <c r="E133" s="507"/>
      <c r="F133" s="507"/>
      <c r="G133" s="582">
        <f>IF((OutNone + OutNone1&gt;0),0, 10*AVERAGE(Cstock1a, LabileC1a, OutC1a))</f>
        <v>0</v>
      </c>
      <c r="H133" s="79"/>
      <c r="I133" s="79"/>
      <c r="J133" s="441"/>
    </row>
    <row r="134" spans="1:10" ht="21" customHeight="1" thickBot="1" x14ac:dyDescent="0.25">
      <c r="A134" s="1246"/>
      <c r="B134" s="1246"/>
      <c r="C134" s="1975"/>
      <c r="D134" s="1975"/>
      <c r="E134" s="608"/>
      <c r="F134" s="608"/>
      <c r="G134" s="608"/>
      <c r="H134" s="489"/>
      <c r="I134" s="835" t="s">
        <v>293</v>
      </c>
      <c r="J134" s="441"/>
    </row>
    <row r="135" spans="1:10" ht="43.5" customHeight="1" x14ac:dyDescent="0.2">
      <c r="A135" s="1550"/>
      <c r="B135" s="1550"/>
      <c r="C135" s="1464"/>
      <c r="D135" s="1626"/>
      <c r="E135" s="608"/>
      <c r="F135" s="608"/>
      <c r="G135" s="608"/>
      <c r="H135" s="489"/>
      <c r="I135" s="815" t="s">
        <v>324</v>
      </c>
      <c r="J135" s="441"/>
    </row>
    <row r="136" spans="1:10" ht="42" customHeight="1" x14ac:dyDescent="0.2">
      <c r="A136" s="1463"/>
      <c r="B136" s="1637"/>
      <c r="C136" s="1593"/>
      <c r="D136" s="1468"/>
      <c r="E136" s="608"/>
      <c r="F136" s="608"/>
      <c r="G136" s="608"/>
      <c r="H136" s="489"/>
      <c r="I136" s="816" t="s">
        <v>1846</v>
      </c>
      <c r="J136" s="441"/>
    </row>
    <row r="137" spans="1:10" ht="42" customHeight="1" x14ac:dyDescent="0.2">
      <c r="A137" s="1463"/>
      <c r="B137" s="1637"/>
      <c r="C137" s="1593"/>
      <c r="D137" s="1554"/>
      <c r="E137" s="608"/>
      <c r="F137" s="608"/>
      <c r="G137" s="608"/>
      <c r="H137" s="489"/>
      <c r="I137" s="816" t="s">
        <v>318</v>
      </c>
      <c r="J137" s="441"/>
    </row>
    <row r="138" spans="1:10" ht="42" customHeight="1" x14ac:dyDescent="0.2">
      <c r="A138" s="1463"/>
      <c r="B138" s="1637"/>
      <c r="C138" s="1593"/>
      <c r="D138" s="1468"/>
      <c r="E138" s="608"/>
      <c r="F138" s="608"/>
      <c r="G138" s="608"/>
      <c r="H138" s="489"/>
      <c r="I138" s="816" t="s">
        <v>320</v>
      </c>
      <c r="J138" s="441"/>
    </row>
    <row r="139" spans="1:10" ht="51" x14ac:dyDescent="0.2">
      <c r="A139" s="1463"/>
      <c r="B139" s="1637"/>
      <c r="C139" s="1593"/>
      <c r="D139" s="1468"/>
      <c r="E139" s="608"/>
      <c r="F139" s="608"/>
      <c r="G139" s="608"/>
      <c r="H139" s="489"/>
      <c r="I139" s="816" t="s">
        <v>325</v>
      </c>
      <c r="J139" s="441"/>
    </row>
    <row r="140" spans="1:10" ht="42" customHeight="1" x14ac:dyDescent="0.2">
      <c r="A140" s="1463"/>
      <c r="B140" s="1593"/>
      <c r="C140" s="1593"/>
      <c r="D140" s="1468"/>
      <c r="E140" s="608"/>
      <c r="F140" s="608"/>
      <c r="G140" s="608"/>
      <c r="H140" s="489"/>
      <c r="I140" s="816" t="s">
        <v>527</v>
      </c>
      <c r="J140" s="441"/>
    </row>
    <row r="141" spans="1:10" s="6" customFormat="1" ht="30.75" customHeight="1" x14ac:dyDescent="0.2">
      <c r="A141" s="1463"/>
      <c r="B141" s="1593"/>
      <c r="C141" s="1593"/>
      <c r="D141" s="1554"/>
      <c r="E141" s="608"/>
      <c r="F141" s="608"/>
      <c r="G141" s="608"/>
      <c r="H141" s="489"/>
      <c r="I141" s="816" t="s">
        <v>528</v>
      </c>
      <c r="J141" s="441"/>
    </row>
    <row r="142" spans="1:10" s="6" customFormat="1" ht="56.25" customHeight="1" x14ac:dyDescent="0.2">
      <c r="A142" s="1463"/>
      <c r="B142" s="1593"/>
      <c r="C142" s="1464"/>
      <c r="D142" s="1554"/>
      <c r="E142" s="608"/>
      <c r="F142" s="608"/>
      <c r="G142" s="608"/>
      <c r="H142" s="489"/>
      <c r="I142" s="816" t="s">
        <v>321</v>
      </c>
      <c r="J142" s="441"/>
    </row>
    <row r="143" spans="1:10" s="6" customFormat="1" ht="27" customHeight="1" x14ac:dyDescent="0.2">
      <c r="A143" s="1463"/>
      <c r="B143" s="1637"/>
      <c r="C143" s="1467"/>
      <c r="D143" s="1599"/>
      <c r="E143" s="608"/>
      <c r="F143" s="608"/>
      <c r="G143" s="608"/>
      <c r="H143" s="489"/>
      <c r="I143" s="816" t="s">
        <v>322</v>
      </c>
      <c r="J143" s="441"/>
    </row>
    <row r="144" spans="1:10" s="6" customFormat="1" ht="42" customHeight="1" x14ac:dyDescent="0.2">
      <c r="A144" s="1463"/>
      <c r="B144" s="1637"/>
      <c r="C144" s="1593"/>
      <c r="D144" s="1554"/>
      <c r="E144" s="608"/>
      <c r="F144" s="608"/>
      <c r="G144" s="608"/>
      <c r="H144" s="489"/>
      <c r="I144" s="816" t="s">
        <v>1841</v>
      </c>
      <c r="J144" s="441"/>
    </row>
    <row r="145" spans="1:10" s="6" customFormat="1" ht="42" customHeight="1" x14ac:dyDescent="0.2">
      <c r="A145" s="1463"/>
      <c r="B145" s="1637"/>
      <c r="C145" s="1593"/>
      <c r="D145" s="1468"/>
      <c r="E145" s="608"/>
      <c r="F145" s="608"/>
      <c r="G145" s="608"/>
      <c r="H145" s="489"/>
      <c r="I145" s="1431" t="s">
        <v>529</v>
      </c>
      <c r="J145" s="441"/>
    </row>
    <row r="146" spans="1:10" s="6" customFormat="1" ht="34.5" customHeight="1" x14ac:dyDescent="0.2">
      <c r="A146" s="1463"/>
      <c r="B146" s="1637"/>
      <c r="C146" s="1593"/>
      <c r="D146" s="1468"/>
      <c r="E146" s="608"/>
      <c r="F146" s="608"/>
      <c r="G146" s="608"/>
      <c r="H146" s="489"/>
      <c r="I146" s="1431" t="s">
        <v>1847</v>
      </c>
      <c r="J146" s="441"/>
    </row>
    <row r="147" spans="1:10" s="6" customFormat="1" ht="31.5" customHeight="1" x14ac:dyDescent="0.2">
      <c r="A147" s="1463"/>
      <c r="B147" s="1593"/>
      <c r="C147" s="1593"/>
      <c r="D147" s="1468"/>
      <c r="E147" s="608"/>
      <c r="F147" s="608"/>
      <c r="G147" s="608"/>
      <c r="H147" s="489"/>
      <c r="I147" s="818" t="s">
        <v>1848</v>
      </c>
      <c r="J147" s="441"/>
    </row>
    <row r="148" spans="1:10" ht="42" customHeight="1" thickBot="1" x14ac:dyDescent="0.25">
      <c r="A148" s="5"/>
      <c r="D148" s="5"/>
      <c r="E148" s="5"/>
      <c r="F148" s="5"/>
      <c r="G148" s="5"/>
      <c r="H148" s="940"/>
      <c r="I148" s="312" t="s">
        <v>1849</v>
      </c>
      <c r="J148" s="441"/>
    </row>
    <row r="149" spans="1:10" x14ac:dyDescent="0.2">
      <c r="A149" s="5"/>
      <c r="D149" s="5"/>
      <c r="E149" s="5"/>
      <c r="F149" s="5"/>
      <c r="G149" s="5"/>
      <c r="H149" s="940"/>
      <c r="I149" s="110"/>
      <c r="J149" s="441"/>
    </row>
    <row r="150" spans="1:10" ht="27" customHeight="1" x14ac:dyDescent="0.2">
      <c r="A150" s="5"/>
      <c r="D150" s="5"/>
      <c r="E150" s="5"/>
      <c r="F150" s="5"/>
      <c r="G150" s="5"/>
      <c r="H150" s="940"/>
      <c r="I150" s="110"/>
      <c r="J150" s="441"/>
    </row>
    <row r="151" spans="1:10" ht="42" customHeight="1" x14ac:dyDescent="0.2">
      <c r="A151" s="5"/>
      <c r="D151" s="5"/>
      <c r="E151" s="5"/>
      <c r="F151" s="5"/>
      <c r="G151" s="5"/>
      <c r="H151" s="940"/>
      <c r="I151" s="110"/>
      <c r="J151" s="441"/>
    </row>
    <row r="152" spans="1:10" ht="42" customHeight="1" x14ac:dyDescent="0.2">
      <c r="A152" s="5"/>
      <c r="D152" s="5"/>
      <c r="E152" s="5"/>
      <c r="F152" s="5"/>
      <c r="G152" s="5"/>
      <c r="H152" s="940"/>
      <c r="I152" s="110"/>
      <c r="J152" s="441"/>
    </row>
    <row r="153" spans="1:10" ht="42" customHeight="1" x14ac:dyDescent="0.2">
      <c r="A153" s="5"/>
      <c r="D153" s="5"/>
      <c r="E153" s="5"/>
      <c r="F153" s="5"/>
      <c r="G153" s="5"/>
      <c r="H153" s="940"/>
      <c r="I153" s="110"/>
      <c r="J153" s="441"/>
    </row>
    <row r="154" spans="1:10" x14ac:dyDescent="0.2">
      <c r="J154" s="441"/>
    </row>
    <row r="166" spans="1:7" ht="21" customHeight="1" x14ac:dyDescent="0.2">
      <c r="A166" s="574"/>
      <c r="B166" s="574"/>
      <c r="D166" s="574"/>
      <c r="E166" s="574"/>
      <c r="F166" s="574"/>
      <c r="G166" s="573"/>
    </row>
    <row r="167" spans="1:7" ht="42" customHeight="1" x14ac:dyDescent="0.2">
      <c r="A167" s="574"/>
      <c r="B167" s="574"/>
      <c r="D167" s="574"/>
      <c r="E167" s="574"/>
      <c r="F167" s="574"/>
      <c r="G167" s="573"/>
    </row>
    <row r="168" spans="1:7" ht="42" customHeight="1" x14ac:dyDescent="0.2">
      <c r="A168" s="574"/>
      <c r="B168" s="574"/>
      <c r="D168" s="574"/>
      <c r="E168" s="574"/>
      <c r="F168" s="574"/>
      <c r="G168" s="573"/>
    </row>
  </sheetData>
  <sheetProtection password="C4B9" sheet="1" objects="1" scenarios="1"/>
  <sortState ref="A3:M11">
    <sortCondition ref="H3:H11"/>
  </sortState>
  <customSheetViews>
    <customSheetView guid="{B8E02330-2419-4DE6-AD01-7ACC7A5D18DD}" scale="75">
      <selection activeCell="H127" sqref="A2:H127"/>
      <pageMargins left="0.75" right="0.75" top="1" bottom="1" header="0.5" footer="0.5"/>
      <pageSetup orientation="portrait" r:id="rId1"/>
      <headerFooter alignWithMargins="0"/>
    </customSheetView>
  </customSheetViews>
  <mergeCells count="79">
    <mergeCell ref="I14:I20"/>
    <mergeCell ref="H14:H20"/>
    <mergeCell ref="B14:B20"/>
    <mergeCell ref="A116:A120"/>
    <mergeCell ref="H116:H120"/>
    <mergeCell ref="I57:I62"/>
    <mergeCell ref="H51:H56"/>
    <mergeCell ref="B116:B120"/>
    <mergeCell ref="I116:I120"/>
    <mergeCell ref="B109:B115"/>
    <mergeCell ref="A109:A115"/>
    <mergeCell ref="A104:A108"/>
    <mergeCell ref="A100:A103"/>
    <mergeCell ref="B88:B93"/>
    <mergeCell ref="A14:A20"/>
    <mergeCell ref="A1:B1"/>
    <mergeCell ref="I100:I103"/>
    <mergeCell ref="I88:I93"/>
    <mergeCell ref="A63:A69"/>
    <mergeCell ref="B63:B69"/>
    <mergeCell ref="I70:I76"/>
    <mergeCell ref="A94:A99"/>
    <mergeCell ref="B94:B99"/>
    <mergeCell ref="I84:I87"/>
    <mergeCell ref="A88:A93"/>
    <mergeCell ref="B84:B87"/>
    <mergeCell ref="I7:I13"/>
    <mergeCell ref="B70:B76"/>
    <mergeCell ref="B100:B103"/>
    <mergeCell ref="A70:A76"/>
    <mergeCell ref="A84:A87"/>
    <mergeCell ref="A7:A13"/>
    <mergeCell ref="A57:A62"/>
    <mergeCell ref="B57:B62"/>
    <mergeCell ref="B77:B83"/>
    <mergeCell ref="A77:A83"/>
    <mergeCell ref="B45:B50"/>
    <mergeCell ref="A51:A56"/>
    <mergeCell ref="B51:B56"/>
    <mergeCell ref="B7:B13"/>
    <mergeCell ref="A38:A44"/>
    <mergeCell ref="A33:A37"/>
    <mergeCell ref="A21:A26"/>
    <mergeCell ref="B38:B44"/>
    <mergeCell ref="B33:B37"/>
    <mergeCell ref="B27:B32"/>
    <mergeCell ref="B21:B26"/>
    <mergeCell ref="E1:H1"/>
    <mergeCell ref="A45:A50"/>
    <mergeCell ref="A27:A32"/>
    <mergeCell ref="H109:H115"/>
    <mergeCell ref="H38:H44"/>
    <mergeCell ref="H33:H37"/>
    <mergeCell ref="H27:H32"/>
    <mergeCell ref="H21:H26"/>
    <mergeCell ref="H104:H108"/>
    <mergeCell ref="H100:H103"/>
    <mergeCell ref="H94:H99"/>
    <mergeCell ref="H88:H93"/>
    <mergeCell ref="H84:H87"/>
    <mergeCell ref="H70:H76"/>
    <mergeCell ref="H63:H69"/>
    <mergeCell ref="B104:B108"/>
    <mergeCell ref="C134:D134"/>
    <mergeCell ref="H45:H50"/>
    <mergeCell ref="H7:H13"/>
    <mergeCell ref="I109:I115"/>
    <mergeCell ref="I33:I37"/>
    <mergeCell ref="I94:I99"/>
    <mergeCell ref="I51:I56"/>
    <mergeCell ref="I21:I26"/>
    <mergeCell ref="I104:I108"/>
    <mergeCell ref="I38:I44"/>
    <mergeCell ref="I27:I32"/>
    <mergeCell ref="I77:I83"/>
    <mergeCell ref="I63:I69"/>
    <mergeCell ref="H77:H83"/>
    <mergeCell ref="H57:H62"/>
    <mergeCell ref="I45:I50"/>
  </mergeCells>
  <phoneticPr fontId="12" type="noConversion"/>
  <conditionalFormatting sqref="D133 D129:D130 D126:D127 D109 D123:D124 D111:D115 D117:D121 D27:D31 D33 D35:D40 D92:D94 D96:D102 D104:D107 D86:D90 D72:D77 D63 D65:D70 D51:D55 D44:D49 D7:D13 D15:D25 D57:D61 D79:D84">
    <cfRule type="cellIs" dxfId="7" priority="1" operator="greaterThan">
      <formula>0</formula>
    </cfRule>
  </conditionalFormatting>
  <pageMargins left="0.75" right="0.75" top="1" bottom="1" header="0.5" footer="0.5"/>
  <pageSetup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237"/>
  <sheetViews>
    <sheetView zoomScaleNormal="100" workbookViewId="0">
      <selection activeCell="C7" sqref="C7"/>
    </sheetView>
  </sheetViews>
  <sheetFormatPr defaultColWidth="9.33203125" defaultRowHeight="16.5" x14ac:dyDescent="0.2"/>
  <cols>
    <col min="1" max="1" width="5.83203125" style="135" customWidth="1"/>
    <col min="2" max="2" width="18.83203125" style="136" customWidth="1"/>
    <col min="3" max="3" width="69.83203125" style="940" customWidth="1"/>
    <col min="4" max="5" width="6.83203125" style="579" customWidth="1"/>
    <col min="6" max="6" width="6.83203125" style="203" customWidth="1"/>
    <col min="7" max="7" width="10.83203125" style="142" customWidth="1"/>
    <col min="8" max="8" width="19.1640625" style="126" bestFit="1" customWidth="1"/>
    <col min="9" max="9" width="67.83203125" style="110" customWidth="1"/>
    <col min="10" max="10" width="6" style="141" customWidth="1"/>
    <col min="11" max="11" width="6.1640625" style="110" customWidth="1"/>
    <col min="12" max="12" width="22.1640625" style="110" customWidth="1"/>
    <col min="13" max="14" width="9.33203125" style="110"/>
    <col min="15" max="15" width="64.5" style="110" customWidth="1"/>
    <col min="16" max="16" width="9.33203125" style="110"/>
    <col min="17" max="16384" width="9.33203125" style="940"/>
  </cols>
  <sheetData>
    <row r="1" spans="1:11" ht="90.75" thickBot="1" x14ac:dyDescent="0.25">
      <c r="A1" s="2033" t="s">
        <v>738</v>
      </c>
      <c r="B1" s="2034"/>
      <c r="C1" s="60" t="s">
        <v>524</v>
      </c>
      <c r="D1" s="641" t="s">
        <v>513</v>
      </c>
      <c r="E1" s="2134"/>
      <c r="F1" s="2135"/>
      <c r="G1" s="2135"/>
      <c r="H1" s="2135"/>
      <c r="I1" s="2136"/>
    </row>
    <row r="2" spans="1:11" s="109" customFormat="1" ht="50.25" thickBot="1" x14ac:dyDescent="0.35">
      <c r="A2" s="1008" t="s">
        <v>78</v>
      </c>
      <c r="B2" s="1009" t="s">
        <v>701</v>
      </c>
      <c r="C2" s="1010" t="s">
        <v>866</v>
      </c>
      <c r="D2" s="1008"/>
      <c r="E2" s="1011"/>
      <c r="F2" s="1012"/>
      <c r="G2" s="1013" t="s">
        <v>710</v>
      </c>
      <c r="H2" s="1009" t="s">
        <v>2028</v>
      </c>
      <c r="I2" s="1009" t="s">
        <v>255</v>
      </c>
      <c r="J2" s="170"/>
    </row>
    <row r="3" spans="1:11" s="1325" customFormat="1" ht="42" customHeight="1" thickBot="1" x14ac:dyDescent="0.25">
      <c r="A3" s="317" t="str">
        <f>OF!A6</f>
        <v>OF5</v>
      </c>
      <c r="B3" s="318" t="str">
        <f>OF!C6</f>
        <v>Wetland Class Richness Within Wetland</v>
      </c>
      <c r="C3" s="486" t="s">
        <v>406</v>
      </c>
      <c r="D3" s="320"/>
      <c r="E3" s="321"/>
      <c r="F3" s="321"/>
      <c r="G3" s="330" t="str">
        <f>IF((ClassRichIn=""),"",ClassRichIn)</f>
        <v/>
      </c>
      <c r="H3" s="332" t="s">
        <v>685</v>
      </c>
      <c r="I3" s="1323" t="s">
        <v>998</v>
      </c>
      <c r="J3" s="1620"/>
    </row>
    <row r="4" spans="1:11" s="1325" customFormat="1" ht="30" customHeight="1" thickBot="1" x14ac:dyDescent="0.25">
      <c r="A4" s="418" t="str">
        <f>OF!A16</f>
        <v>OF15</v>
      </c>
      <c r="B4" s="323" t="str">
        <f>OF!C16</f>
        <v>Growing Degree Days</v>
      </c>
      <c r="C4" s="484" t="s">
        <v>406</v>
      </c>
      <c r="D4" s="324"/>
      <c r="E4" s="325"/>
      <c r="F4" s="325"/>
      <c r="G4" s="345" t="str">
        <f>IF((GrowDD=""),"",GrowDD)</f>
        <v/>
      </c>
      <c r="H4" s="1360" t="s">
        <v>698</v>
      </c>
      <c r="I4" s="1424" t="s">
        <v>465</v>
      </c>
      <c r="J4" s="1324"/>
    </row>
    <row r="5" spans="1:11" s="1325" customFormat="1" ht="39" thickBot="1" x14ac:dyDescent="0.25">
      <c r="A5" s="317" t="str">
        <f>OF!A17</f>
        <v>OF16</v>
      </c>
      <c r="B5" s="1308" t="str">
        <f>OF!C17</f>
        <v>Groundwater Discharge Area or Spring</v>
      </c>
      <c r="C5" s="486"/>
      <c r="D5" s="1259"/>
      <c r="E5" s="1260"/>
      <c r="F5" s="865"/>
      <c r="G5" s="1333" t="str">
        <f>IF((GWDspring=""),"",GWDspring)</f>
        <v/>
      </c>
      <c r="H5" s="1261" t="s">
        <v>668</v>
      </c>
      <c r="I5" s="1323" t="s">
        <v>2265</v>
      </c>
      <c r="J5" s="1324"/>
    </row>
    <row r="6" spans="1:11" s="1325" customFormat="1" ht="42" customHeight="1" thickBot="1" x14ac:dyDescent="0.25">
      <c r="A6" s="317" t="str">
        <f>OF!A22</f>
        <v>OF21</v>
      </c>
      <c r="B6" s="318" t="str">
        <f>OF!C22</f>
        <v>% Natural Cover Within 1km</v>
      </c>
      <c r="C6" s="486" t="s">
        <v>406</v>
      </c>
      <c r="D6" s="320"/>
      <c r="E6" s="321"/>
      <c r="F6" s="321"/>
      <c r="G6" s="330" t="str">
        <f>IF((NatCov1k=""),"",NatCov1k)</f>
        <v/>
      </c>
      <c r="H6" s="332" t="s">
        <v>687</v>
      </c>
      <c r="I6" s="839" t="s">
        <v>1352</v>
      </c>
      <c r="J6" s="1620"/>
    </row>
    <row r="7" spans="1:11" s="1325" customFormat="1" ht="64.5" thickBot="1" x14ac:dyDescent="0.25">
      <c r="A7" s="1308" t="str">
        <f>OF!A42</f>
        <v>OF41</v>
      </c>
      <c r="B7" s="1308" t="str">
        <f>OF!C42</f>
        <v>Marsh or Shallow Open Water Area/All Marsh &amp; Shallow Open Water Area Within 1k</v>
      </c>
      <c r="C7" s="1638"/>
      <c r="D7" s="1259"/>
      <c r="E7" s="1260"/>
      <c r="F7" s="1260"/>
      <c r="G7" s="809" t="str">
        <f>IF((UniqMarshShallowOW=""),"",UniqMarshShallowOW)</f>
        <v/>
      </c>
      <c r="H7" s="1639" t="str">
        <f>OF!B42</f>
        <v>UniqMarshShallowOW</v>
      </c>
      <c r="I7" s="399" t="s">
        <v>2397</v>
      </c>
      <c r="J7" s="1332"/>
      <c r="K7" s="1332"/>
    </row>
    <row r="8" spans="1:11" s="1325" customFormat="1" ht="33" customHeight="1" thickBot="1" x14ac:dyDescent="0.25">
      <c r="A8" s="540" t="str">
        <f>OF!A49</f>
        <v>OF48</v>
      </c>
      <c r="B8" s="397" t="str">
        <f>OF!C49</f>
        <v>Upland Edge Index</v>
      </c>
      <c r="C8" s="1640"/>
      <c r="D8" s="1641"/>
      <c r="E8" s="1642"/>
      <c r="F8" s="1642"/>
      <c r="G8" s="1643" t="str">
        <f>IF((WetPerim2Area=""),"", WetPerim2Area)</f>
        <v/>
      </c>
      <c r="H8" s="1644" t="s">
        <v>657</v>
      </c>
      <c r="I8" s="1501" t="s">
        <v>2398</v>
      </c>
      <c r="J8" s="1332"/>
      <c r="K8" s="1332"/>
    </row>
    <row r="9" spans="1:11" s="1325" customFormat="1" ht="39" thickBot="1" x14ac:dyDescent="0.25">
      <c r="A9" s="540" t="str">
        <f>OF!A50</f>
        <v>OF49</v>
      </c>
      <c r="B9" s="397" t="str">
        <f>OF!C50</f>
        <v>Wetland Vegetated Area (in hectares)</v>
      </c>
      <c r="C9" s="1640"/>
      <c r="D9" s="1641"/>
      <c r="E9" s="1642"/>
      <c r="F9" s="1642"/>
      <c r="G9" s="1643" t="str">
        <f>IF((WetVegArea=""),"",WetVegArea)</f>
        <v/>
      </c>
      <c r="H9" s="1644" t="s">
        <v>656</v>
      </c>
      <c r="I9" s="1501" t="s">
        <v>2399</v>
      </c>
      <c r="J9" s="1332"/>
      <c r="K9" s="1332"/>
    </row>
    <row r="10" spans="1:11" s="1007" customFormat="1" ht="66.75" thickBot="1" x14ac:dyDescent="0.35">
      <c r="A10" s="1090" t="s">
        <v>78</v>
      </c>
      <c r="B10" s="1326" t="s">
        <v>709</v>
      </c>
      <c r="C10" s="1092" t="s">
        <v>708</v>
      </c>
      <c r="D10" s="1327" t="s">
        <v>33</v>
      </c>
      <c r="E10" s="1328" t="s">
        <v>1131</v>
      </c>
      <c r="F10" s="1329" t="s">
        <v>1130</v>
      </c>
      <c r="G10" s="1330" t="s">
        <v>710</v>
      </c>
      <c r="H10" s="1331" t="s">
        <v>2028</v>
      </c>
      <c r="I10" s="1098" t="s">
        <v>917</v>
      </c>
      <c r="J10" s="1006"/>
    </row>
    <row r="11" spans="1:11" s="6" customFormat="1" ht="21" customHeight="1" thickBot="1" x14ac:dyDescent="0.25">
      <c r="A11" s="1867" t="str">
        <f>F!A5</f>
        <v>F1</v>
      </c>
      <c r="B11" s="1867" t="str">
        <f>F!B5</f>
        <v>Wetland Type - Predominant</v>
      </c>
      <c r="C11" s="352" t="str">
        <f>F!C5</f>
        <v>Follow the key below and mark the ONE row that best describes MOST of the AA:</v>
      </c>
      <c r="D11" s="777"/>
      <c r="E11" s="777"/>
      <c r="F11" s="856"/>
      <c r="G11" s="225">
        <f>MAX(F13,F14,F16,F17)/MAX(E12:E17)</f>
        <v>0</v>
      </c>
      <c r="H11" s="1867" t="s">
        <v>88</v>
      </c>
      <c r="I11" s="2008" t="s">
        <v>1956</v>
      </c>
      <c r="J11" s="149"/>
    </row>
    <row r="12" spans="1:11" s="6" customFormat="1" ht="38.25" x14ac:dyDescent="0.2">
      <c r="A12" s="1911"/>
      <c r="B12" s="1911"/>
      <c r="C12" s="934" t="str">
        <f>F!C6</f>
        <v>A. Moss and/or lichen cover more than 25% of the ground. Substrate is mostly undecomposed peat. Choose between A1 and A2 and mark the choice with a 1 in their adjoining column. Otherwise go to B below.</v>
      </c>
      <c r="D12" s="734"/>
      <c r="E12" s="734"/>
      <c r="F12" s="722"/>
      <c r="G12" s="735"/>
      <c r="H12" s="1911"/>
      <c r="I12" s="2009"/>
      <c r="J12" s="149"/>
    </row>
    <row r="13" spans="1:11" s="6" customFormat="1" ht="89.25" x14ac:dyDescent="0.2">
      <c r="A13" s="1911"/>
      <c r="B13" s="1911"/>
      <c r="C13" s="935" t="str">
        <f>F!C7</f>
        <v xml:space="preserve">   A1. Surface water is usually absent or, if present, pH is typically &lt;4.5 and conductivity is &lt;100 µS/cm (about 64 ppm TDS).  Often dominated by ericaceous shrubs (e.g., Labrador tea, lingonberry), sometimes with pitcher plant, sundew. Sedge cover usually sparse or absent. Trees, if present, are mainly limited to black spruce.  Wetland surface is never sloping, except sometimes from wetland center towards outer edges (convex), and surrounding landscape is flat.  Inlet and outlet channels are usually absent.</v>
      </c>
      <c r="D13" s="733">
        <f>F!D7</f>
        <v>0</v>
      </c>
      <c r="E13" s="734">
        <v>1</v>
      </c>
      <c r="F13" s="722">
        <f t="shared" ref="F13:F17" si="0">D13*E13</f>
        <v>0</v>
      </c>
      <c r="G13" s="735"/>
      <c r="H13" s="1911"/>
      <c r="I13" s="2009"/>
      <c r="J13" s="149"/>
    </row>
    <row r="14" spans="1:11" s="6" customFormat="1" ht="63.75" x14ac:dyDescent="0.2">
      <c r="A14" s="1911"/>
      <c r="B14" s="1911"/>
      <c r="C14" s="935" t="str">
        <f>F!C8</f>
        <v xml:space="preserve">   A2. Not A1. Surface water, if present, has pH typically &gt;4.5 and conductivity is &gt;100 µS/cm.  Sedges and/or cottongrass often dominate the ground cover, while ericaceous shrubs and black spruce may also be present. Sometimes at toe of slope or edge of water body. An exit channel is usually present. Wetter than A1, often with many small persistent pools.</v>
      </c>
      <c r="D14" s="733">
        <f>F!D8</f>
        <v>0</v>
      </c>
      <c r="E14" s="734">
        <v>2</v>
      </c>
      <c r="F14" s="722">
        <f t="shared" si="0"/>
        <v>0</v>
      </c>
      <c r="G14" s="735"/>
      <c r="H14" s="1911"/>
      <c r="I14" s="2009"/>
      <c r="J14" s="149"/>
    </row>
    <row r="15" spans="1:11" s="6" customFormat="1" ht="38.25" x14ac:dyDescent="0.2">
      <c r="A15" s="1911"/>
      <c r="B15" s="1911"/>
      <c r="C15" s="935" t="str">
        <f>F!C9</f>
        <v>B. Moss and/or lichen cover less than 25% of the ground. Soil is mineral or decomposed organic (muck). Choose between B1 and B2 and mark the choice with a 1 in their adjoining column:</v>
      </c>
      <c r="D15" s="734"/>
      <c r="E15" s="734"/>
      <c r="F15" s="722"/>
      <c r="G15" s="735"/>
      <c r="H15" s="1911"/>
      <c r="I15" s="2009"/>
      <c r="J15" s="149"/>
    </row>
    <row r="16" spans="1:11" s="6" customFormat="1" ht="51" customHeight="1" x14ac:dyDescent="0.2">
      <c r="A16" s="1911"/>
      <c r="B16" s="1911"/>
      <c r="C16" s="935" t="str">
        <f>F!C10</f>
        <v xml:space="preserve">   B1. Trees and shrubs taller than 1 m comprise more than 25% of the vegetated cover. Surface water is mostly absent or inundates the vegetation only seasonally (e.g., snowmelt pools or floodplain).  Often in riparian settings, abandoned beaver flowages.</v>
      </c>
      <c r="D16" s="733">
        <f>F!D10</f>
        <v>0</v>
      </c>
      <c r="E16" s="734">
        <v>3</v>
      </c>
      <c r="F16" s="722">
        <f t="shared" si="0"/>
        <v>0</v>
      </c>
      <c r="G16" s="735"/>
      <c r="H16" s="1911"/>
      <c r="I16" s="2009"/>
      <c r="J16" s="149"/>
    </row>
    <row r="17" spans="1:12" s="6" customFormat="1" ht="74.25" customHeight="1" thickBot="1" x14ac:dyDescent="0.25">
      <c r="A17" s="1911"/>
      <c r="B17" s="1911"/>
      <c r="C17" s="935" t="str">
        <f>F!C11</f>
        <v xml:space="preserve">   B2. Not B1.  Tree &amp; tall shrubs taller than 1 m comprise less than 25% of the vegetated cover. Vegetation is mostly herbaceous, e.g., cattail, bulrush, burreed, pond lily, horsetail.  Often in depressions (potholes, created ponds), or along lakes and rivers, or where fill has blocked water movement causing prolonged flooding of wetlands formerly covered by moss.  Surface water often fluctuates widely among seasons and years.</v>
      </c>
      <c r="D17" s="733">
        <f>F!D11</f>
        <v>0</v>
      </c>
      <c r="E17" s="734">
        <v>4</v>
      </c>
      <c r="F17" s="722">
        <f t="shared" si="0"/>
        <v>0</v>
      </c>
      <c r="G17" s="735"/>
      <c r="H17" s="1911"/>
      <c r="I17" s="2009"/>
      <c r="J17" s="149"/>
    </row>
    <row r="18" spans="1:12" s="6" customFormat="1" ht="59.25" customHeight="1" thickBot="1" x14ac:dyDescent="0.25">
      <c r="A18" s="1867" t="str">
        <f>F!A12</f>
        <v>F2</v>
      </c>
      <c r="B18" s="1867" t="str">
        <f>F!B12</f>
        <v>Wetland Types - Subordinate</v>
      </c>
      <c r="C18" s="352" t="str">
        <f>F!C12</f>
        <v>If the AA is smaller than 1 ha, mark all other types that occupy more than 1% of the vegetated AA.  If the AA is larger than 1 ha, mark all other types which adjoin directly (are contiguous with) the AA and occupy more than 1 ha, as visible from the AA or as interpreted from aerial imagery.  Do not mark again the type marked in F1.</v>
      </c>
      <c r="D18" s="282"/>
      <c r="E18" s="777"/>
      <c r="F18" s="376"/>
      <c r="G18" s="232">
        <f>SUM(D19:D22)/3</f>
        <v>0</v>
      </c>
      <c r="H18" s="1867" t="s">
        <v>819</v>
      </c>
      <c r="I18" s="2008" t="s">
        <v>2391</v>
      </c>
      <c r="J18" s="149"/>
    </row>
    <row r="19" spans="1:12" s="6" customFormat="1" ht="15" customHeight="1" x14ac:dyDescent="0.2">
      <c r="A19" s="1911"/>
      <c r="B19" s="1911"/>
      <c r="C19" s="934" t="str">
        <f>F!C13</f>
        <v>A1</v>
      </c>
      <c r="D19" s="733">
        <f>F!D13</f>
        <v>0</v>
      </c>
      <c r="E19" s="736"/>
      <c r="F19" s="239"/>
      <c r="G19" s="857"/>
      <c r="H19" s="1911"/>
      <c r="I19" s="2009"/>
      <c r="J19" s="149"/>
    </row>
    <row r="20" spans="1:12" s="6" customFormat="1" ht="15" customHeight="1" x14ac:dyDescent="0.2">
      <c r="A20" s="1911"/>
      <c r="B20" s="1911"/>
      <c r="C20" s="935" t="str">
        <f>F!C14</f>
        <v>A2</v>
      </c>
      <c r="D20" s="733">
        <f>F!D14</f>
        <v>0</v>
      </c>
      <c r="E20" s="736"/>
      <c r="F20" s="239"/>
      <c r="G20" s="857"/>
      <c r="H20" s="1911"/>
      <c r="I20" s="2009"/>
      <c r="J20" s="149"/>
    </row>
    <row r="21" spans="1:12" s="6" customFormat="1" ht="15" customHeight="1" x14ac:dyDescent="0.2">
      <c r="A21" s="1911"/>
      <c r="B21" s="1911"/>
      <c r="C21" s="935" t="str">
        <f>F!C15</f>
        <v>B1</v>
      </c>
      <c r="D21" s="733">
        <f>F!D15</f>
        <v>0</v>
      </c>
      <c r="E21" s="736"/>
      <c r="F21" s="239"/>
      <c r="G21" s="857"/>
      <c r="H21" s="1911"/>
      <c r="I21" s="2009"/>
      <c r="J21" s="149"/>
    </row>
    <row r="22" spans="1:12" s="6" customFormat="1" ht="15" customHeight="1" x14ac:dyDescent="0.2">
      <c r="A22" s="1911"/>
      <c r="B22" s="1911"/>
      <c r="C22" s="935" t="str">
        <f>F!C16</f>
        <v>B2</v>
      </c>
      <c r="D22" s="733">
        <f>F!D16</f>
        <v>0</v>
      </c>
      <c r="E22" s="736"/>
      <c r="F22" s="239"/>
      <c r="G22" s="857"/>
      <c r="H22" s="1911"/>
      <c r="I22" s="2009"/>
      <c r="J22" s="149"/>
    </row>
    <row r="23" spans="1:12" s="6" customFormat="1" ht="15" customHeight="1" thickBot="1" x14ac:dyDescent="0.25">
      <c r="A23" s="1911"/>
      <c r="B23" s="1911"/>
      <c r="C23" s="762" t="str">
        <f>F!C17</f>
        <v>no types other than the predominant one in F1 meet the stated conditions.</v>
      </c>
      <c r="D23" s="370">
        <f>F!D17</f>
        <v>0</v>
      </c>
      <c r="E23" s="1257"/>
      <c r="F23" s="271"/>
      <c r="G23" s="720"/>
      <c r="H23" s="1911"/>
      <c r="I23" s="2009"/>
      <c r="J23" s="149"/>
    </row>
    <row r="24" spans="1:12" s="6" customFormat="1" ht="51.75" thickBot="1" x14ac:dyDescent="0.25">
      <c r="A24" s="1992" t="str">
        <f>F!A18</f>
        <v>F3</v>
      </c>
      <c r="B24" s="1867" t="str">
        <f>F!B18</f>
        <v>Woody Cover by Height</v>
      </c>
      <c r="C24" s="1318" t="str">
        <f>F!C18</f>
        <v>Following EACH row below, indicate with a number code the percentage of the of the living vegetation in the AA occupied by that feature (5 if &gt;75%,   4 if 50-75%,   3 if 25-50%,   2 if 5-25%,   1 if &lt;5%, 0 if none).  If the AA has no trees or shrubs, SKIP to F8.</v>
      </c>
      <c r="D24" s="777"/>
      <c r="E24" s="376"/>
      <c r="F24" s="376"/>
      <c r="G24" s="1258">
        <f>IF((D26&gt;3),1,IF((D28&gt;3),1, IF((D29&gt;3),0,0.5)))</f>
        <v>0.5</v>
      </c>
      <c r="H24" s="2011" t="s">
        <v>2264</v>
      </c>
      <c r="I24" s="2008" t="s">
        <v>2392</v>
      </c>
      <c r="J24" s="149"/>
    </row>
    <row r="25" spans="1:12" s="6" customFormat="1" x14ac:dyDescent="0.2">
      <c r="A25" s="1991"/>
      <c r="B25" s="1911"/>
      <c r="C25" s="934" t="str">
        <f>F!C19</f>
        <v>coniferous trees (including tamarack) taller than 3 m.</v>
      </c>
      <c r="D25" s="733">
        <f>F!D19</f>
        <v>0</v>
      </c>
      <c r="E25" s="722"/>
      <c r="F25" s="857"/>
      <c r="G25" s="722"/>
      <c r="H25" s="2007"/>
      <c r="I25" s="2009"/>
      <c r="J25" s="149"/>
    </row>
    <row r="26" spans="1:12" s="6" customFormat="1" x14ac:dyDescent="0.2">
      <c r="A26" s="1991"/>
      <c r="B26" s="1911"/>
      <c r="C26" s="935" t="str">
        <f>F!C20</f>
        <v>deciduous trees taller than 3 m.</v>
      </c>
      <c r="D26" s="733">
        <f>F!D20</f>
        <v>0</v>
      </c>
      <c r="E26" s="722"/>
      <c r="F26" s="857"/>
      <c r="G26" s="722"/>
      <c r="H26" s="2007"/>
      <c r="I26" s="2009"/>
      <c r="J26" s="149"/>
    </row>
    <row r="27" spans="1:12" s="6" customFormat="1" ht="21" customHeight="1" x14ac:dyDescent="0.2">
      <c r="A27" s="1991"/>
      <c r="B27" s="1911"/>
      <c r="C27" s="935" t="str">
        <f>F!C21</f>
        <v>coniferous or ericaceous shrubs or trees 1-3 m tall not directly below the canopy of trees.</v>
      </c>
      <c r="D27" s="733">
        <f>F!D21</f>
        <v>0</v>
      </c>
      <c r="E27" s="722"/>
      <c r="F27" s="857"/>
      <c r="G27" s="722"/>
      <c r="H27" s="2007"/>
      <c r="I27" s="2009"/>
      <c r="J27" s="149"/>
    </row>
    <row r="28" spans="1:12" s="6" customFormat="1" ht="25.5" x14ac:dyDescent="0.2">
      <c r="A28" s="1991"/>
      <c r="B28" s="1911"/>
      <c r="C28" s="935" t="str">
        <f>F!C22</f>
        <v>deciduous shrubs or trees 1-3 m tall not directly below the canopy of trees &gt;3 m (e.g., deciduous saplings).</v>
      </c>
      <c r="D28" s="733">
        <f>F!D22</f>
        <v>0</v>
      </c>
      <c r="E28" s="722"/>
      <c r="F28" s="857"/>
      <c r="G28" s="722"/>
      <c r="H28" s="2007"/>
      <c r="I28" s="2009"/>
      <c r="J28" s="149"/>
    </row>
    <row r="29" spans="1:12" s="6" customFormat="1" ht="25.5" x14ac:dyDescent="0.2">
      <c r="A29" s="1991"/>
      <c r="B29" s="1911"/>
      <c r="C29" s="935" t="str">
        <f>F!C23</f>
        <v>coniferous or ericaceous shrubs or trees &lt;1 m tall not directly below the canopy of taller vegetation.</v>
      </c>
      <c r="D29" s="733">
        <f>F!D23</f>
        <v>0</v>
      </c>
      <c r="E29" s="722"/>
      <c r="F29" s="857"/>
      <c r="G29" s="722"/>
      <c r="H29" s="2007"/>
      <c r="I29" s="2009"/>
      <c r="J29" s="149"/>
    </row>
    <row r="30" spans="1:12" s="6" customFormat="1" ht="17.25" thickBot="1" x14ac:dyDescent="0.25">
      <c r="A30" s="1993"/>
      <c r="B30" s="1978"/>
      <c r="C30" s="762" t="str">
        <f>F!C24</f>
        <v>deciduous shrubs or trees &lt;1 m tall (e.g., deciduous seedlings).</v>
      </c>
      <c r="D30" s="370">
        <f>F!D24</f>
        <v>0</v>
      </c>
      <c r="E30" s="380"/>
      <c r="F30" s="720"/>
      <c r="G30" s="380"/>
      <c r="H30" s="2012"/>
      <c r="I30" s="2010"/>
      <c r="J30" s="149"/>
    </row>
    <row r="31" spans="1:12" ht="20.25" customHeight="1" thickBot="1" x14ac:dyDescent="0.25">
      <c r="A31" s="1989" t="str">
        <f>F!A34</f>
        <v>F5</v>
      </c>
      <c r="B31" s="1989" t="str">
        <f>F!B34</f>
        <v>Interspersion of Tall and Short Vegetation</v>
      </c>
      <c r="C31" s="1235" t="str">
        <f>F!C34</f>
        <v>Follow the key below and mark the ONE row that best describes MOST of the AA:</v>
      </c>
      <c r="D31" s="777"/>
      <c r="E31" s="376"/>
      <c r="F31" s="376"/>
      <c r="G31" s="1258">
        <f>MAX(F33:F37)/MAX(E33:E37)</f>
        <v>0</v>
      </c>
      <c r="H31" s="1911" t="s">
        <v>737</v>
      </c>
      <c r="I31" s="2141" t="s">
        <v>999</v>
      </c>
    </row>
    <row r="32" spans="1:12" ht="51" x14ac:dyDescent="0.2">
      <c r="A32" s="1989"/>
      <c r="B32" s="1989"/>
      <c r="C32" s="1319" t="str">
        <f>F!C35</f>
        <v>A. Neither the vegetation taller than 1m nor the vegetation shorter than that comprise &gt;70% of the vegetated part of the AA. They each comprise 30-70%.  If false, go to B below.  Otherwise choose between A1 and A2 and mark the choice with a 1 in the adjoining column:</v>
      </c>
      <c r="D32" s="722"/>
      <c r="E32" s="722"/>
      <c r="F32" s="722"/>
      <c r="G32" s="859"/>
      <c r="H32" s="1911"/>
      <c r="I32" s="2142"/>
      <c r="L32" s="110" t="s">
        <v>406</v>
      </c>
    </row>
    <row r="33" spans="1:9" x14ac:dyDescent="0.2">
      <c r="A33" s="1989"/>
      <c r="B33" s="1989"/>
      <c r="C33" s="1319" t="str">
        <f>F!C36</f>
        <v xml:space="preserve">   A1. The two height classes are mostly scattered and intermixed throughout the AA.</v>
      </c>
      <c r="D33" s="1597">
        <f>F!D36</f>
        <v>0</v>
      </c>
      <c r="E33" s="722">
        <v>3</v>
      </c>
      <c r="F33" s="857">
        <f>D34*E34</f>
        <v>0</v>
      </c>
      <c r="G33" s="859"/>
      <c r="H33" s="1911"/>
      <c r="I33" s="2142"/>
    </row>
    <row r="34" spans="1:9" ht="29.45" customHeight="1" x14ac:dyDescent="0.2">
      <c r="A34" s="1989"/>
      <c r="B34" s="1989"/>
      <c r="C34" s="1319" t="str">
        <f>F!C37</f>
        <v xml:space="preserve">   A2. Not A1.  The two height classes are mostly in separate zones or bands, or in proportionately large clumps.</v>
      </c>
      <c r="D34" s="1597">
        <f>F!D37</f>
        <v>0</v>
      </c>
      <c r="E34" s="722">
        <v>2</v>
      </c>
      <c r="F34" s="857">
        <f>D35*E35</f>
        <v>0</v>
      </c>
      <c r="G34" s="859"/>
      <c r="H34" s="1911"/>
      <c r="I34" s="2142"/>
    </row>
    <row r="35" spans="1:9" ht="42" customHeight="1" x14ac:dyDescent="0.2">
      <c r="A35" s="1989"/>
      <c r="B35" s="1989"/>
      <c r="C35" s="1320" t="str">
        <f>F!C38</f>
        <v>B. Either the vegetation taller than 1m or the vegetation shorter than 1m comprise &gt;70% of the vegetated part of the AA.  One size class might even be totally absent.  Choose between B1 and B2 and mark the choice with a 1 in the adjoining column:</v>
      </c>
      <c r="D35" s="722"/>
      <c r="E35" s="722"/>
      <c r="F35" s="722"/>
      <c r="G35" s="859"/>
      <c r="H35" s="1911"/>
      <c r="I35" s="2142"/>
    </row>
    <row r="36" spans="1:9" ht="25.5" x14ac:dyDescent="0.2">
      <c r="A36" s="1989"/>
      <c r="B36" s="1989"/>
      <c r="C36" s="1320" t="str">
        <f>F!C39</f>
        <v xml:space="preserve">   B1. The less prevalent height class is mostly scattered and intermixed within the prevalent one.</v>
      </c>
      <c r="D36" s="737">
        <f>F!D39</f>
        <v>0</v>
      </c>
      <c r="E36" s="722">
        <v>1</v>
      </c>
      <c r="F36" s="857">
        <f>D36*E36</f>
        <v>0</v>
      </c>
      <c r="G36" s="859"/>
      <c r="H36" s="1911"/>
      <c r="I36" s="2142"/>
    </row>
    <row r="37" spans="1:9" ht="31.9" customHeight="1" thickBot="1" x14ac:dyDescent="0.25">
      <c r="A37" s="1990"/>
      <c r="B37" s="1990"/>
      <c r="C37" s="1321" t="str">
        <f>F!C40</f>
        <v xml:space="preserve">   B2. Not B1.  The less prevalent height class is mostly located apart from the prevalent one, in separate zones or clumps, or is completely absent</v>
      </c>
      <c r="D37" s="81">
        <f>F!D40</f>
        <v>0</v>
      </c>
      <c r="E37" s="244">
        <v>0</v>
      </c>
      <c r="F37" s="266">
        <f>D37*E37</f>
        <v>0</v>
      </c>
      <c r="G37" s="1322"/>
      <c r="H37" s="1978"/>
      <c r="I37" s="2143"/>
    </row>
    <row r="38" spans="1:9" ht="45" customHeight="1" thickBot="1" x14ac:dyDescent="0.25">
      <c r="A38" s="1992" t="str">
        <f>F!A41</f>
        <v>F6</v>
      </c>
      <c r="B38" s="1867" t="str">
        <f>F!B41</f>
        <v>Downed Wood</v>
      </c>
      <c r="C38" s="90" t="str">
        <f>F!C41</f>
        <v>If trees taller than 3 m comprise &lt;5% of the vegetative cover, SKIP to F10 (Sphagnum Moss Extent). Otherwise, answer this: The number of downed wood pieces longer than 2 m and with diameter &gt;5 cm, and not persistently submerged, is:</v>
      </c>
      <c r="D38" s="372"/>
      <c r="E38" s="376"/>
      <c r="F38" s="262"/>
      <c r="G38" s="225">
        <f>IF((NoWoodyVeg=1),"",MAX(F39:F40))</f>
        <v>0</v>
      </c>
      <c r="H38" s="1867" t="s">
        <v>96</v>
      </c>
      <c r="I38" s="2132" t="s">
        <v>1173</v>
      </c>
    </row>
    <row r="39" spans="1:9" ht="15" customHeight="1" x14ac:dyDescent="0.2">
      <c r="A39" s="1991"/>
      <c r="B39" s="1911"/>
      <c r="C39" s="426" t="str">
        <f>F!C42</f>
        <v>Several (&gt;5 if AA is &gt;5 hectares, less for smaller AAs).</v>
      </c>
      <c r="D39" s="180">
        <f>F!D42</f>
        <v>0</v>
      </c>
      <c r="E39" s="377">
        <v>1</v>
      </c>
      <c r="F39" s="377">
        <f>D39*E39</f>
        <v>0</v>
      </c>
      <c r="G39" s="202"/>
      <c r="H39" s="1911"/>
      <c r="I39" s="2133"/>
    </row>
    <row r="40" spans="1:9" ht="15" customHeight="1" thickBot="1" x14ac:dyDescent="0.25">
      <c r="A40" s="1993"/>
      <c r="B40" s="1978"/>
      <c r="C40" s="82" t="str">
        <f>F!C43</f>
        <v>Few or none that meet these criteria.</v>
      </c>
      <c r="D40" s="81">
        <f>F!D43</f>
        <v>0</v>
      </c>
      <c r="E40" s="244">
        <v>0</v>
      </c>
      <c r="F40" s="244">
        <f>D40*E40</f>
        <v>0</v>
      </c>
      <c r="G40" s="258"/>
      <c r="H40" s="1978"/>
      <c r="I40" s="2140"/>
    </row>
    <row r="41" spans="1:9" ht="30" customHeight="1" thickBot="1" x14ac:dyDescent="0.25">
      <c r="A41" s="2075" t="str">
        <f>F!A47</f>
        <v>F8</v>
      </c>
      <c r="B41" s="1911" t="str">
        <f>F!B47</f>
        <v>N Fixers</v>
      </c>
      <c r="C41" s="877" t="str">
        <f>F!C47</f>
        <v>The percent of the AA's vegetated cover that is nitrogen-fixing plants (e.g., alder, baltic (wire) rush, sweetgale, lupine, clover, other legumes) is:</v>
      </c>
      <c r="D41" s="437"/>
      <c r="E41" s="239"/>
      <c r="F41" s="259"/>
      <c r="G41" s="219">
        <f>MAX(F42:F46)/MAX(E42:E46)</f>
        <v>0</v>
      </c>
      <c r="H41" s="1867" t="s">
        <v>95</v>
      </c>
      <c r="I41" s="2133" t="s">
        <v>1254</v>
      </c>
    </row>
    <row r="42" spans="1:9" ht="15" customHeight="1" x14ac:dyDescent="0.2">
      <c r="A42" s="2075"/>
      <c r="B42" s="1911"/>
      <c r="C42" s="426" t="str">
        <f>F!C48</f>
        <v>&lt;1% or none.</v>
      </c>
      <c r="D42" s="40">
        <f>F!D48</f>
        <v>0</v>
      </c>
      <c r="E42" s="241">
        <v>0</v>
      </c>
      <c r="F42" s="241">
        <f>D42*E42</f>
        <v>0</v>
      </c>
      <c r="G42" s="202"/>
      <c r="H42" s="1911"/>
      <c r="I42" s="2133"/>
    </row>
    <row r="43" spans="1:9" ht="25.5" x14ac:dyDescent="0.2">
      <c r="A43" s="2075"/>
      <c r="B43" s="1911"/>
      <c r="C43" s="362" t="str">
        <f>F!C49</f>
        <v>1-25% of the shrub plus ground cover, in the AA or along its water edge (whichever has more).</v>
      </c>
      <c r="D43" s="40">
        <f>F!D49</f>
        <v>0</v>
      </c>
      <c r="E43" s="241">
        <v>1</v>
      </c>
      <c r="F43" s="241">
        <f>D43*E43</f>
        <v>0</v>
      </c>
      <c r="G43" s="257"/>
      <c r="H43" s="1911"/>
      <c r="I43" s="2133"/>
    </row>
    <row r="44" spans="1:9" ht="25.5" x14ac:dyDescent="0.2">
      <c r="A44" s="2075"/>
      <c r="B44" s="1911"/>
      <c r="C44" s="362" t="str">
        <f>F!C50</f>
        <v>25-50% of the shrub plus ground cover, in the AA or along its water edge (whichever has more).</v>
      </c>
      <c r="D44" s="40">
        <f>F!D50</f>
        <v>0</v>
      </c>
      <c r="E44" s="241">
        <v>2</v>
      </c>
      <c r="F44" s="241">
        <f>D44*E44</f>
        <v>0</v>
      </c>
      <c r="G44" s="257"/>
      <c r="H44" s="1911"/>
      <c r="I44" s="2133"/>
    </row>
    <row r="45" spans="1:9" ht="25.5" x14ac:dyDescent="0.2">
      <c r="A45" s="2075"/>
      <c r="B45" s="1911"/>
      <c r="C45" s="362" t="str">
        <f>F!C51</f>
        <v>50-75% of the shrub plus ground cover, in the AA or along its water edge (whichever has more).</v>
      </c>
      <c r="D45" s="40">
        <f>F!D51</f>
        <v>0</v>
      </c>
      <c r="E45" s="241">
        <v>3</v>
      </c>
      <c r="F45" s="241">
        <f>D45*E45</f>
        <v>0</v>
      </c>
      <c r="G45" s="257"/>
      <c r="H45" s="1911"/>
      <c r="I45" s="2133"/>
    </row>
    <row r="46" spans="1:9" ht="26.25" thickBot="1" x14ac:dyDescent="0.25">
      <c r="A46" s="2075"/>
      <c r="B46" s="1911"/>
      <c r="C46" s="361" t="str">
        <f>F!C52</f>
        <v>&gt;75% of the shrub plus ground cover, in the AA or along its water edge (whichever has more).</v>
      </c>
      <c r="D46" s="370">
        <f>F!D52</f>
        <v>0</v>
      </c>
      <c r="E46" s="380">
        <v>4</v>
      </c>
      <c r="F46" s="380">
        <f>D46*E46</f>
        <v>0</v>
      </c>
      <c r="G46" s="433"/>
      <c r="H46" s="1978"/>
      <c r="I46" s="2133"/>
    </row>
    <row r="47" spans="1:9" ht="39" thickBot="1" x14ac:dyDescent="0.25">
      <c r="A47" s="2036" t="str">
        <f>F!A57</f>
        <v>F10</v>
      </c>
      <c r="B47" s="1867" t="str">
        <f>F!B57</f>
        <v>Sphagnum Moss Extent</v>
      </c>
      <c r="C47" s="77" t="str">
        <f>F!C57</f>
        <v>The cover of Sphagnum moss (or any moss that forms a dense cushion many centimeters thick), including the moss obscured by taller sedges and other plants rooted in it, is:</v>
      </c>
      <c r="D47" s="372"/>
      <c r="E47" s="376"/>
      <c r="F47" s="376"/>
      <c r="G47" s="225">
        <f>MAX(F48:F52)/MAX(E48:E52)</f>
        <v>0</v>
      </c>
      <c r="H47" s="1867" t="s">
        <v>736</v>
      </c>
      <c r="I47" s="2008" t="s">
        <v>1000</v>
      </c>
    </row>
    <row r="48" spans="1:9" ht="15" customHeight="1" x14ac:dyDescent="0.2">
      <c r="A48" s="2035"/>
      <c r="B48" s="1911"/>
      <c r="C48" s="395" t="str">
        <f>F!C58</f>
        <v>&lt;5% of the ground cover, or none.</v>
      </c>
      <c r="D48" s="359">
        <f>F!D58</f>
        <v>0</v>
      </c>
      <c r="E48" s="377">
        <v>3</v>
      </c>
      <c r="F48" s="377">
        <f>D48*E48</f>
        <v>0</v>
      </c>
      <c r="G48" s="257"/>
      <c r="H48" s="1911"/>
      <c r="I48" s="2009"/>
    </row>
    <row r="49" spans="1:10" ht="15" customHeight="1" x14ac:dyDescent="0.2">
      <c r="A49" s="2035"/>
      <c r="B49" s="1911"/>
      <c r="C49" s="342" t="str">
        <f>F!C59</f>
        <v>5-25% of the ground cover.</v>
      </c>
      <c r="D49" s="359">
        <f>F!D59</f>
        <v>0</v>
      </c>
      <c r="E49" s="377">
        <v>3</v>
      </c>
      <c r="F49" s="377">
        <f>D49*E49</f>
        <v>0</v>
      </c>
      <c r="G49" s="257"/>
      <c r="H49" s="1911"/>
      <c r="I49" s="2009"/>
    </row>
    <row r="50" spans="1:10" ht="15" customHeight="1" x14ac:dyDescent="0.2">
      <c r="A50" s="2035"/>
      <c r="B50" s="1911"/>
      <c r="C50" s="342" t="str">
        <f>F!C60</f>
        <v>25-50% of the ground cover.</v>
      </c>
      <c r="D50" s="359">
        <f>F!D60</f>
        <v>0</v>
      </c>
      <c r="E50" s="377">
        <v>2</v>
      </c>
      <c r="F50" s="377">
        <f>D50*E50</f>
        <v>0</v>
      </c>
      <c r="G50" s="257"/>
      <c r="H50" s="1911"/>
      <c r="I50" s="2009"/>
    </row>
    <row r="51" spans="1:10" ht="15" customHeight="1" x14ac:dyDescent="0.2">
      <c r="A51" s="2035"/>
      <c r="B51" s="1911"/>
      <c r="C51" s="342" t="str">
        <f>F!C61</f>
        <v>50-95% of the ground cover.</v>
      </c>
      <c r="D51" s="359">
        <f>F!D61</f>
        <v>0</v>
      </c>
      <c r="E51" s="377">
        <v>1</v>
      </c>
      <c r="F51" s="377">
        <f>D51*E51</f>
        <v>0</v>
      </c>
      <c r="G51" s="257"/>
      <c r="H51" s="1911"/>
      <c r="I51" s="2009"/>
    </row>
    <row r="52" spans="1:10" ht="15" customHeight="1" thickBot="1" x14ac:dyDescent="0.25">
      <c r="A52" s="2037"/>
      <c r="B52" s="1978"/>
      <c r="C52" s="340" t="str">
        <f>F!C62</f>
        <v>&gt;95% of the ground cover.</v>
      </c>
      <c r="D52" s="81">
        <f>F!D62</f>
        <v>0</v>
      </c>
      <c r="E52" s="244">
        <v>0</v>
      </c>
      <c r="F52" s="244">
        <f>D52*E52</f>
        <v>0</v>
      </c>
      <c r="G52" s="258"/>
      <c r="H52" s="1978"/>
      <c r="I52" s="2010"/>
    </row>
    <row r="53" spans="1:10" ht="60" customHeight="1" thickBot="1" x14ac:dyDescent="0.25">
      <c r="A53" s="2075" t="str">
        <f>F!A69</f>
        <v>F12</v>
      </c>
      <c r="B53" s="1911" t="str">
        <f>F!B69</f>
        <v>Ground Irregularity</v>
      </c>
      <c r="C53" s="877" t="str">
        <f>F!C69</f>
        <v>Consider the parts of the AA that lack surface water at some time of the year.  The number of hummocks, small pits, raised mounds, upturned trees, animal burrows, gullies, natural levees, microdepressions, and other areas of peat or mineral soil that are raised or depressed &gt;10 cm compared to most of the area immediately surrounding them is:</v>
      </c>
      <c r="D53" s="437"/>
      <c r="E53" s="239"/>
      <c r="F53" s="259"/>
      <c r="G53" s="219">
        <f>MAX(F54:F56)/MAX(E54:E56)</f>
        <v>0</v>
      </c>
      <c r="H53" s="1867" t="s">
        <v>97</v>
      </c>
      <c r="I53" s="2133" t="s">
        <v>48</v>
      </c>
    </row>
    <row r="54" spans="1:10" ht="25.5" x14ac:dyDescent="0.2">
      <c r="A54" s="2075"/>
      <c r="B54" s="1911"/>
      <c r="C54" s="426" t="str">
        <f>F!C70</f>
        <v xml:space="preserve">Few or none (minimal microtopography; &lt;1% of the land has such features, or entire site is always water-covered). </v>
      </c>
      <c r="D54" s="91">
        <f>F!D70</f>
        <v>0</v>
      </c>
      <c r="E54" s="241">
        <v>0</v>
      </c>
      <c r="F54" s="241">
        <f>D54*E54</f>
        <v>0</v>
      </c>
      <c r="G54" s="202"/>
      <c r="H54" s="1911"/>
      <c r="I54" s="2133"/>
    </row>
    <row r="55" spans="1:10" ht="15" customHeight="1" x14ac:dyDescent="0.2">
      <c r="A55" s="2075"/>
      <c r="B55" s="1911"/>
      <c r="C55" s="362" t="str">
        <f>F!C71</f>
        <v>Intermediate.</v>
      </c>
      <c r="D55" s="91">
        <f>F!D71</f>
        <v>0</v>
      </c>
      <c r="E55" s="241">
        <v>1</v>
      </c>
      <c r="F55" s="241">
        <f>D55*E55</f>
        <v>0</v>
      </c>
      <c r="G55" s="257"/>
      <c r="H55" s="1911"/>
      <c r="I55" s="2133"/>
    </row>
    <row r="56" spans="1:10" ht="15" customHeight="1" thickBot="1" x14ac:dyDescent="0.25">
      <c r="A56" s="2075"/>
      <c r="B56" s="1911"/>
      <c r="C56" s="361" t="str">
        <f>F!C72</f>
        <v>Several (extensive micro-topography).</v>
      </c>
      <c r="D56" s="370">
        <f>F!D72</f>
        <v>0</v>
      </c>
      <c r="E56" s="380">
        <v>2</v>
      </c>
      <c r="F56" s="380">
        <f>D56*E56</f>
        <v>0</v>
      </c>
      <c r="G56" s="433"/>
      <c r="H56" s="1978"/>
      <c r="I56" s="2133"/>
    </row>
    <row r="57" spans="1:10" ht="39" thickBot="1" x14ac:dyDescent="0.25">
      <c r="A57" s="1979" t="str">
        <f>F!A107</f>
        <v>F19</v>
      </c>
      <c r="B57" s="1984" t="str">
        <f>F!B107</f>
        <v xml:space="preserve">Dominance of Most Abundant Herbaceous Species </v>
      </c>
      <c r="C57" s="452" t="str">
        <f>F!C107</f>
        <v>Determine which two native herbaceous (forb and graminoid) species comprise the greatest portion of the herbaceous cover that is unshaded by a woody canopy.  Then choose one of the following:</v>
      </c>
      <c r="D57" s="372"/>
      <c r="E57" s="376"/>
      <c r="F57" s="262"/>
      <c r="G57" s="225">
        <f>IF((NoHerbCov=1),"", MAX(F58:F59)/MAX(E58:E59))</f>
        <v>0</v>
      </c>
      <c r="H57" s="1867" t="s">
        <v>481</v>
      </c>
      <c r="I57" s="2008" t="s">
        <v>1174</v>
      </c>
    </row>
    <row r="58" spans="1:10" ht="27" customHeight="1" x14ac:dyDescent="0.2">
      <c r="A58" s="1980"/>
      <c r="B58" s="1985"/>
      <c r="C58" s="480" t="str">
        <f>F!C108</f>
        <v>those species together comprise &gt; 50% of the areal cover of native herbaceous plants at any time during the year.</v>
      </c>
      <c r="D58" s="382">
        <f>F!D108</f>
        <v>0</v>
      </c>
      <c r="E58" s="377">
        <v>0</v>
      </c>
      <c r="F58" s="380">
        <f>D58*E58</f>
        <v>0</v>
      </c>
      <c r="G58" s="202"/>
      <c r="H58" s="1911"/>
      <c r="I58" s="2009"/>
    </row>
    <row r="59" spans="1:10" ht="27" customHeight="1" thickBot="1" x14ac:dyDescent="0.25">
      <c r="A59" s="2021"/>
      <c r="B59" s="2005"/>
      <c r="C59" s="449" t="str">
        <f>F!C109</f>
        <v>those species together do not comprise &gt; 50% of the areal cover of native herbaceous plants at any time during the year.</v>
      </c>
      <c r="D59" s="191">
        <f>F!D109</f>
        <v>0</v>
      </c>
      <c r="E59" s="244">
        <v>1</v>
      </c>
      <c r="F59" s="244">
        <f>D59*E59</f>
        <v>0</v>
      </c>
      <c r="G59" s="258"/>
      <c r="H59" s="1978"/>
      <c r="I59" s="2010"/>
    </row>
    <row r="60" spans="1:10" s="6" customFormat="1" ht="39" customHeight="1" thickBot="1" x14ac:dyDescent="0.25">
      <c r="A60" s="2075" t="str">
        <f>F!A121</f>
        <v>F22</v>
      </c>
      <c r="B60" s="1911" t="str">
        <f>F!B121</f>
        <v>% Never With Surface Water</v>
      </c>
      <c r="C60" s="1397" t="str">
        <f>F!C121</f>
        <v>The percentage of the AA that never contains surface water during an average year (that is, except perhaps for a few hours after snowmelt or rainstorms), but which is still a wetland, is:</v>
      </c>
      <c r="D60" s="736"/>
      <c r="E60" s="736"/>
      <c r="F60" s="239"/>
      <c r="G60" s="231">
        <f>MAX(F61:F65)/MAX(E61:E65)</f>
        <v>0</v>
      </c>
      <c r="H60" s="1911" t="s">
        <v>284</v>
      </c>
      <c r="I60" s="2009" t="s">
        <v>470</v>
      </c>
      <c r="J60" s="149"/>
    </row>
    <row r="61" spans="1:10" s="6" customFormat="1" ht="38.25" x14ac:dyDescent="0.2">
      <c r="A61" s="2075"/>
      <c r="B61" s="1911"/>
      <c r="C61" s="476" t="str">
        <f>F!C122</f>
        <v>&lt;0.01 hectare (about 10 m on a side) and &lt;1% of the AA never has surface water.  In other words, all or nearly all of the AA is covered by water permanently or at least seasonally.</v>
      </c>
      <c r="D61" s="189">
        <f>F!D122</f>
        <v>0</v>
      </c>
      <c r="E61" s="241">
        <v>5</v>
      </c>
      <c r="F61" s="241">
        <f>D61*E61</f>
        <v>0</v>
      </c>
      <c r="G61" s="265"/>
      <c r="H61" s="1911"/>
      <c r="I61" s="2009"/>
      <c r="J61" s="149"/>
    </row>
    <row r="62" spans="1:10" s="6" customFormat="1" ht="15" customHeight="1" x14ac:dyDescent="0.2">
      <c r="A62" s="2075"/>
      <c r="B62" s="1911"/>
      <c r="C62" s="476" t="str">
        <f>F!C123</f>
        <v>1-25% of the AA never contains surface water.</v>
      </c>
      <c r="D62" s="189">
        <f>F!D123</f>
        <v>0</v>
      </c>
      <c r="E62" s="241">
        <v>4</v>
      </c>
      <c r="F62" s="241">
        <f>D62*E62</f>
        <v>0</v>
      </c>
      <c r="G62" s="265"/>
      <c r="H62" s="1911"/>
      <c r="I62" s="2009"/>
      <c r="J62" s="149"/>
    </row>
    <row r="63" spans="1:10" s="6" customFormat="1" ht="15" customHeight="1" x14ac:dyDescent="0.2">
      <c r="A63" s="2075"/>
      <c r="B63" s="1911"/>
      <c r="C63" s="476" t="str">
        <f>F!C124</f>
        <v>25-50% of the AA never contains surface water.</v>
      </c>
      <c r="D63" s="189">
        <f>F!D124</f>
        <v>0</v>
      </c>
      <c r="E63" s="241">
        <v>3</v>
      </c>
      <c r="F63" s="241">
        <f>D63*E63</f>
        <v>0</v>
      </c>
      <c r="G63" s="265"/>
      <c r="H63" s="1911"/>
      <c r="I63" s="2009"/>
      <c r="J63" s="149"/>
    </row>
    <row r="64" spans="1:10" s="6" customFormat="1" ht="15" customHeight="1" x14ac:dyDescent="0.2">
      <c r="A64" s="2075"/>
      <c r="B64" s="1911"/>
      <c r="C64" s="476" t="str">
        <f>F!C125</f>
        <v>50-99% of the AA never contains surface water.</v>
      </c>
      <c r="D64" s="189">
        <f>F!D125</f>
        <v>0</v>
      </c>
      <c r="E64" s="241">
        <v>2</v>
      </c>
      <c r="F64" s="241">
        <f>D64*E64</f>
        <v>0</v>
      </c>
      <c r="G64" s="265"/>
      <c r="H64" s="1911"/>
      <c r="I64" s="2009"/>
      <c r="J64" s="149"/>
    </row>
    <row r="65" spans="1:10" s="6" customFormat="1" ht="39" customHeight="1" thickBot="1" x14ac:dyDescent="0.25">
      <c r="A65" s="2075"/>
      <c r="B65" s="1911"/>
      <c r="C65" s="476" t="str">
        <f>F!C126</f>
        <v>&gt;99% of the AA never contains surface water, except perhaps for water flowing in channels and/or in pools that occupy &lt;1% of the AA. SKIP to F48 (Channel Connection &amp; Outflow Duration).</v>
      </c>
      <c r="D65" s="189">
        <f>F!D126</f>
        <v>0</v>
      </c>
      <c r="E65" s="241">
        <v>1</v>
      </c>
      <c r="F65" s="241">
        <f>D65*E65</f>
        <v>0</v>
      </c>
      <c r="G65" s="265"/>
      <c r="H65" s="1911"/>
      <c r="I65" s="2009"/>
      <c r="J65" s="149"/>
    </row>
    <row r="66" spans="1:10" s="5" customFormat="1" ht="27" customHeight="1" thickBot="1" x14ac:dyDescent="0.25">
      <c r="A66" s="1992" t="str">
        <f>F!A127</f>
        <v>F23</v>
      </c>
      <c r="B66" s="1867" t="str">
        <f>F!B127</f>
        <v>% with Persistent Surface Water</v>
      </c>
      <c r="C66" s="352" t="str">
        <f>F!C127</f>
        <v>The percentage of the AA that has surface water (either ponded or flowing, either open or obscured by vegetation) during all of the growing season during most years is:</v>
      </c>
      <c r="D66" s="282"/>
      <c r="E66" s="376"/>
      <c r="F66" s="262"/>
      <c r="G66" s="225">
        <f>IF((AllSat1&gt;0),"",MAX(F67:F72)/MAX(E67:E72))</f>
        <v>0</v>
      </c>
      <c r="H66" s="2000" t="s">
        <v>91</v>
      </c>
      <c r="I66" s="2132" t="s">
        <v>1165</v>
      </c>
      <c r="J66" s="130"/>
    </row>
    <row r="67" spans="1:10" ht="25.5" customHeight="1" x14ac:dyDescent="0.2">
      <c r="A67" s="1991"/>
      <c r="B67" s="1911"/>
      <c r="C67" s="338" t="str">
        <f>F!C128</f>
        <v>&lt;0.01 hectare and &lt;1% of the AA.  SKIP to F27 (% Flooded Only Seasonally).</v>
      </c>
      <c r="D67" s="370">
        <f>F!D128</f>
        <v>0</v>
      </c>
      <c r="E67" s="381">
        <v>0</v>
      </c>
      <c r="F67" s="377">
        <f t="shared" ref="F67:F72" si="1">D67*E67</f>
        <v>0</v>
      </c>
      <c r="G67" s="202"/>
      <c r="H67" s="1989"/>
      <c r="I67" s="2133"/>
    </row>
    <row r="68" spans="1:10" ht="15" customHeight="1" x14ac:dyDescent="0.2">
      <c r="A68" s="1991"/>
      <c r="B68" s="1911"/>
      <c r="C68" s="533" t="str">
        <f>F!C129</f>
        <v>1-5% of the AA.</v>
      </c>
      <c r="D68" s="370">
        <f>F!D129</f>
        <v>0</v>
      </c>
      <c r="E68" s="377">
        <v>1</v>
      </c>
      <c r="F68" s="377">
        <f t="shared" si="1"/>
        <v>0</v>
      </c>
      <c r="G68" s="257"/>
      <c r="H68" s="1989"/>
      <c r="I68" s="2133"/>
    </row>
    <row r="69" spans="1:10" ht="15" customHeight="1" x14ac:dyDescent="0.2">
      <c r="A69" s="1991"/>
      <c r="B69" s="1911"/>
      <c r="C69" s="533" t="str">
        <f>F!C130</f>
        <v>5-25% of the AA.</v>
      </c>
      <c r="D69" s="370">
        <f>F!D130</f>
        <v>0</v>
      </c>
      <c r="E69" s="377">
        <v>2</v>
      </c>
      <c r="F69" s="377">
        <f t="shared" si="1"/>
        <v>0</v>
      </c>
      <c r="G69" s="257"/>
      <c r="H69" s="1989"/>
      <c r="I69" s="2133"/>
    </row>
    <row r="70" spans="1:10" ht="15" customHeight="1" x14ac:dyDescent="0.2">
      <c r="A70" s="1991"/>
      <c r="B70" s="1911"/>
      <c r="C70" s="533" t="str">
        <f>F!C131</f>
        <v>25-50% of the AA.</v>
      </c>
      <c r="D70" s="370">
        <f>F!D131</f>
        <v>0</v>
      </c>
      <c r="E70" s="377">
        <v>2</v>
      </c>
      <c r="F70" s="377">
        <f t="shared" si="1"/>
        <v>0</v>
      </c>
      <c r="G70" s="257"/>
      <c r="H70" s="1989"/>
      <c r="I70" s="2133"/>
    </row>
    <row r="71" spans="1:10" ht="15" customHeight="1" x14ac:dyDescent="0.2">
      <c r="A71" s="1991"/>
      <c r="B71" s="1911"/>
      <c r="C71" s="533" t="str">
        <f>F!C132</f>
        <v>50-95% of the AA.</v>
      </c>
      <c r="D71" s="370">
        <f>F!D132</f>
        <v>0</v>
      </c>
      <c r="E71" s="377">
        <v>3</v>
      </c>
      <c r="F71" s="377">
        <f t="shared" si="1"/>
        <v>0</v>
      </c>
      <c r="G71" s="257"/>
      <c r="H71" s="1989"/>
      <c r="I71" s="2133"/>
    </row>
    <row r="72" spans="1:10" ht="15" customHeight="1" thickBot="1" x14ac:dyDescent="0.25">
      <c r="A72" s="1993"/>
      <c r="B72" s="1978"/>
      <c r="C72" s="445" t="str">
        <f>F!C133</f>
        <v>&gt;95% of the AA.</v>
      </c>
      <c r="D72" s="94">
        <f>F!D133</f>
        <v>0</v>
      </c>
      <c r="E72" s="272">
        <v>4</v>
      </c>
      <c r="F72" s="244">
        <f t="shared" si="1"/>
        <v>0</v>
      </c>
      <c r="G72" s="258"/>
      <c r="H72" s="1990"/>
      <c r="I72" s="2140"/>
    </row>
    <row r="73" spans="1:10" ht="33" customHeight="1" thickBot="1" x14ac:dyDescent="0.25">
      <c r="A73" s="2075" t="str">
        <f>F!A142</f>
        <v>F27</v>
      </c>
      <c r="B73" s="1911" t="str">
        <f>F!B142</f>
        <v>% Flooded Only Seasonally</v>
      </c>
      <c r="C73" s="1397" t="str">
        <f>F!C142</f>
        <v>The percentage of the AA that is covered by unfrozen surface water only during the wettest time of the year is:</v>
      </c>
      <c r="D73" s="437"/>
      <c r="E73" s="239"/>
      <c r="F73" s="259"/>
      <c r="G73" s="231">
        <f>IF((AllSat1&gt;0),"",MAX(F74:F78)/MAX(E74:E78))</f>
        <v>0</v>
      </c>
      <c r="H73" s="1867" t="s">
        <v>89</v>
      </c>
      <c r="I73" s="2133" t="s">
        <v>1166</v>
      </c>
    </row>
    <row r="74" spans="1:10" ht="15" customHeight="1" x14ac:dyDescent="0.2">
      <c r="A74" s="2075"/>
      <c r="B74" s="1911"/>
      <c r="C74" s="575" t="str">
        <f>F!C143</f>
        <v xml:space="preserve">None, or &lt;0.01 hectare and &lt;1% of the AA. </v>
      </c>
      <c r="D74" s="91">
        <f>F!D143</f>
        <v>0</v>
      </c>
      <c r="E74" s="241">
        <v>3</v>
      </c>
      <c r="F74" s="241">
        <f>D74*E74</f>
        <v>0</v>
      </c>
      <c r="G74" s="202"/>
      <c r="H74" s="1911"/>
      <c r="I74" s="2133"/>
    </row>
    <row r="75" spans="1:10" ht="15" customHeight="1" x14ac:dyDescent="0.2">
      <c r="A75" s="2075"/>
      <c r="B75" s="1911"/>
      <c r="C75" s="576" t="str">
        <f>F!C144</f>
        <v xml:space="preserve">1-25% </v>
      </c>
      <c r="D75" s="91">
        <f>F!D144</f>
        <v>0</v>
      </c>
      <c r="E75" s="241">
        <v>4</v>
      </c>
      <c r="F75" s="241">
        <f>D75*E75</f>
        <v>0</v>
      </c>
      <c r="G75" s="257"/>
      <c r="H75" s="1911"/>
      <c r="I75" s="2133"/>
    </row>
    <row r="76" spans="1:10" ht="15" customHeight="1" x14ac:dyDescent="0.2">
      <c r="A76" s="2075"/>
      <c r="B76" s="1911"/>
      <c r="C76" s="576" t="str">
        <f>F!C145</f>
        <v xml:space="preserve">25-50% </v>
      </c>
      <c r="D76" s="91">
        <f>F!D145</f>
        <v>0</v>
      </c>
      <c r="E76" s="241">
        <v>3</v>
      </c>
      <c r="F76" s="241">
        <f>D76*E76</f>
        <v>0</v>
      </c>
      <c r="G76" s="257"/>
      <c r="H76" s="1911"/>
      <c r="I76" s="2133"/>
    </row>
    <row r="77" spans="1:10" ht="15" customHeight="1" x14ac:dyDescent="0.2">
      <c r="A77" s="2075"/>
      <c r="B77" s="1911"/>
      <c r="C77" s="576" t="str">
        <f>F!C146</f>
        <v xml:space="preserve">50-95% </v>
      </c>
      <c r="D77" s="91">
        <f>F!D146</f>
        <v>0</v>
      </c>
      <c r="E77" s="241">
        <v>2</v>
      </c>
      <c r="F77" s="241">
        <f>D77*E77</f>
        <v>0</v>
      </c>
      <c r="G77" s="257"/>
      <c r="H77" s="1911"/>
      <c r="I77" s="2133"/>
    </row>
    <row r="78" spans="1:10" ht="30" customHeight="1" thickBot="1" x14ac:dyDescent="0.25">
      <c r="A78" s="2075"/>
      <c r="B78" s="1911"/>
      <c r="C78" s="533" t="str">
        <f>F!C147</f>
        <v xml:space="preserve">&gt;95% </v>
      </c>
      <c r="D78" s="370">
        <f>F!D147</f>
        <v>0</v>
      </c>
      <c r="E78" s="380">
        <v>1</v>
      </c>
      <c r="F78" s="380">
        <f>D78*E78</f>
        <v>0</v>
      </c>
      <c r="G78" s="433"/>
      <c r="H78" s="1978"/>
      <c r="I78" s="2133"/>
    </row>
    <row r="79" spans="1:10" ht="30" customHeight="1" thickBot="1" x14ac:dyDescent="0.25">
      <c r="A79" s="1992" t="str">
        <f>F!A148</f>
        <v>F28</v>
      </c>
      <c r="B79" s="1867" t="str">
        <f>F!B148</f>
        <v>Annual Water Fluctuation Range</v>
      </c>
      <c r="C79" s="90" t="str">
        <f>F!C148</f>
        <v>The annual fluctuation in surface water level within most of the parts of the AA that contain surface water is:</v>
      </c>
      <c r="D79" s="372"/>
      <c r="E79" s="376"/>
      <c r="F79" s="262"/>
      <c r="G79" s="232">
        <f>IF((AllSat1&gt;0),"",IF((NoSeasonal=1),"",MAX(F80:F84)/MAX(E80:E84)))</f>
        <v>0</v>
      </c>
      <c r="H79" s="1867" t="s">
        <v>739</v>
      </c>
      <c r="I79" s="2147" t="s">
        <v>2393</v>
      </c>
    </row>
    <row r="80" spans="1:10" ht="15" customHeight="1" x14ac:dyDescent="0.2">
      <c r="A80" s="1991"/>
      <c r="B80" s="1911"/>
      <c r="C80" s="426" t="str">
        <f>F!C149</f>
        <v xml:space="preserve">&lt;10 cm change (stable or nearly so) </v>
      </c>
      <c r="D80" s="359">
        <f>F!D149</f>
        <v>0</v>
      </c>
      <c r="E80" s="377">
        <v>1</v>
      </c>
      <c r="F80" s="377">
        <f>D80*E80</f>
        <v>0</v>
      </c>
      <c r="G80" s="202"/>
      <c r="H80" s="1911"/>
      <c r="I80" s="2148"/>
    </row>
    <row r="81" spans="1:9" ht="15" customHeight="1" x14ac:dyDescent="0.2">
      <c r="A81" s="1991"/>
      <c r="B81" s="1911"/>
      <c r="C81" s="362" t="str">
        <f>F!C150</f>
        <v>10 cm - 50 cm change</v>
      </c>
      <c r="D81" s="354">
        <f>F!D150</f>
        <v>0</v>
      </c>
      <c r="E81" s="377">
        <v>4</v>
      </c>
      <c r="F81" s="377">
        <f>D81*E81</f>
        <v>0</v>
      </c>
      <c r="G81" s="257"/>
      <c r="H81" s="1911"/>
      <c r="I81" s="2148"/>
    </row>
    <row r="82" spans="1:9" ht="15" customHeight="1" x14ac:dyDescent="0.2">
      <c r="A82" s="1991"/>
      <c r="B82" s="1911"/>
      <c r="C82" s="362" t="str">
        <f>F!C151</f>
        <v>0.5 - 1 m change</v>
      </c>
      <c r="D82" s="354">
        <f>F!D151</f>
        <v>0</v>
      </c>
      <c r="E82" s="722">
        <v>3</v>
      </c>
      <c r="F82" s="722">
        <f>D82*E82</f>
        <v>0</v>
      </c>
      <c r="G82" s="775"/>
      <c r="H82" s="1911"/>
      <c r="I82" s="2148"/>
    </row>
    <row r="83" spans="1:9" ht="15" customHeight="1" x14ac:dyDescent="0.2">
      <c r="A83" s="1991"/>
      <c r="B83" s="1911"/>
      <c r="C83" s="362" t="str">
        <f>F!C152</f>
        <v>1-2 m change</v>
      </c>
      <c r="D83" s="359">
        <f>F!D152</f>
        <v>0</v>
      </c>
      <c r="E83" s="377">
        <v>2</v>
      </c>
      <c r="F83" s="377">
        <f>D83*E83</f>
        <v>0</v>
      </c>
      <c r="G83" s="257"/>
      <c r="H83" s="1911"/>
      <c r="I83" s="2148"/>
    </row>
    <row r="84" spans="1:9" ht="15" customHeight="1" thickBot="1" x14ac:dyDescent="0.25">
      <c r="A84" s="1993"/>
      <c r="B84" s="1978"/>
      <c r="C84" s="82" t="str">
        <f>F!C153</f>
        <v>&gt;2 m change</v>
      </c>
      <c r="D84" s="81">
        <f>F!D153</f>
        <v>0</v>
      </c>
      <c r="E84" s="244">
        <v>1</v>
      </c>
      <c r="F84" s="244">
        <f>D84*E84</f>
        <v>0</v>
      </c>
      <c r="G84" s="258"/>
      <c r="H84" s="1978"/>
      <c r="I84" s="2149"/>
    </row>
    <row r="85" spans="1:9" ht="51.75" thickBot="1" x14ac:dyDescent="0.25">
      <c r="A85" s="2075" t="str">
        <f>F!A155</f>
        <v>F29</v>
      </c>
      <c r="B85" s="1911" t="str">
        <f>F!B155</f>
        <v>Predominant Depth Class</v>
      </c>
      <c r="C85" s="877" t="str">
        <f>F!C155</f>
        <v>During most of the time when water is present, its depth in most of the area is: [Note: This is not asking for the maximum depth]. If a ponded body of open water that adjoins the AA is larger than 8 ha, include its waters in this estimate, but only those waters within a distance from the AA that is equal to the vegetated AA's width]</v>
      </c>
      <c r="D85" s="437"/>
      <c r="E85" s="239"/>
      <c r="F85" s="259"/>
      <c r="G85" s="231">
        <f>IF((AllSat1&gt;0),"", IF((SmallAA=1),"", MAX(F86:F90)/MAX(E86:E90)))</f>
        <v>0</v>
      </c>
      <c r="H85" s="1867" t="s">
        <v>92</v>
      </c>
      <c r="I85" s="2133" t="s">
        <v>1167</v>
      </c>
    </row>
    <row r="86" spans="1:9" ht="15" customHeight="1" x14ac:dyDescent="0.2">
      <c r="A86" s="2075"/>
      <c r="B86" s="1911"/>
      <c r="C86" s="426" t="str">
        <f>F!C156</f>
        <v>&lt;10 cm deep (but &gt;0).</v>
      </c>
      <c r="D86" s="40">
        <f>F!D156</f>
        <v>0</v>
      </c>
      <c r="E86" s="241">
        <v>3</v>
      </c>
      <c r="F86" s="241">
        <f>D86*E86</f>
        <v>0</v>
      </c>
      <c r="G86" s="202"/>
      <c r="H86" s="1911"/>
      <c r="I86" s="2133"/>
    </row>
    <row r="87" spans="1:9" ht="15" customHeight="1" x14ac:dyDescent="0.2">
      <c r="A87" s="2075"/>
      <c r="B87" s="1911"/>
      <c r="C87" s="362" t="str">
        <f>F!C157</f>
        <v>10 - 50 cm deep.</v>
      </c>
      <c r="D87" s="91">
        <f>F!D157</f>
        <v>0</v>
      </c>
      <c r="E87" s="241">
        <v>5</v>
      </c>
      <c r="F87" s="241">
        <f>D87*E87</f>
        <v>0</v>
      </c>
      <c r="G87" s="257"/>
      <c r="H87" s="1911"/>
      <c r="I87" s="2133"/>
    </row>
    <row r="88" spans="1:9" ht="15" customHeight="1" x14ac:dyDescent="0.2">
      <c r="A88" s="2075"/>
      <c r="B88" s="1911"/>
      <c r="C88" s="362" t="str">
        <f>F!C158</f>
        <v>0.5 - 1 m deep.</v>
      </c>
      <c r="D88" s="40">
        <f>F!D158</f>
        <v>0</v>
      </c>
      <c r="E88" s="241">
        <v>4</v>
      </c>
      <c r="F88" s="241">
        <f>D88*E88</f>
        <v>0</v>
      </c>
      <c r="G88" s="257"/>
      <c r="H88" s="1911"/>
      <c r="I88" s="2133"/>
    </row>
    <row r="89" spans="1:9" ht="15" customHeight="1" x14ac:dyDescent="0.2">
      <c r="A89" s="2075"/>
      <c r="B89" s="1911"/>
      <c r="C89" s="362" t="str">
        <f>F!C159</f>
        <v>1 - 2 m deep.</v>
      </c>
      <c r="D89" s="40">
        <f>F!D159</f>
        <v>0</v>
      </c>
      <c r="E89" s="241">
        <v>2</v>
      </c>
      <c r="F89" s="241">
        <f>D89*E89</f>
        <v>0</v>
      </c>
      <c r="G89" s="257"/>
      <c r="H89" s="1911"/>
      <c r="I89" s="2133"/>
    </row>
    <row r="90" spans="1:9" ht="15" customHeight="1" thickBot="1" x14ac:dyDescent="0.25">
      <c r="A90" s="2075"/>
      <c r="B90" s="1911"/>
      <c r="C90" s="361" t="str">
        <f>F!C160</f>
        <v>&gt;2 m deep.  True for many fringe wetlands.</v>
      </c>
      <c r="D90" s="356">
        <f>F!D160</f>
        <v>0</v>
      </c>
      <c r="E90" s="380">
        <v>1</v>
      </c>
      <c r="F90" s="380">
        <f>D90*E90</f>
        <v>0</v>
      </c>
      <c r="G90" s="433"/>
      <c r="H90" s="1978"/>
      <c r="I90" s="2133"/>
    </row>
    <row r="91" spans="1:9" ht="31.15" customHeight="1" thickBot="1" x14ac:dyDescent="0.25">
      <c r="A91" s="2078" t="str">
        <f>F!A161</f>
        <v>F30</v>
      </c>
      <c r="B91" s="2080" t="str">
        <f>F!B161</f>
        <v>Depth Classes - Evenness of Proportions</v>
      </c>
      <c r="C91" s="471" t="str">
        <f>F!C161</f>
        <v>Within the area described above, and during most of the time when surface water is present, it usually is comprised of: (select one):</v>
      </c>
      <c r="D91" s="282"/>
      <c r="E91" s="376"/>
      <c r="F91" s="262"/>
      <c r="G91" s="225">
        <f>IF((AllSat1&gt;0),"", IF((SmallAA=1),"", MAX(F92:F94)/MAX(E92:E94)))</f>
        <v>0</v>
      </c>
      <c r="H91" s="1867" t="s">
        <v>480</v>
      </c>
      <c r="I91" s="2152" t="s">
        <v>1168</v>
      </c>
    </row>
    <row r="92" spans="1:9" ht="25.5" x14ac:dyDescent="0.2">
      <c r="A92" s="2039"/>
      <c r="B92" s="2081"/>
      <c r="C92" s="477" t="str">
        <f>F!C162</f>
        <v>One depth class covering &gt;90% of the AA’s inundated area (use the classes in the question above).</v>
      </c>
      <c r="D92" s="431">
        <f>F!D162</f>
        <v>0</v>
      </c>
      <c r="E92" s="377">
        <v>0</v>
      </c>
      <c r="F92" s="377">
        <f>D92*E92</f>
        <v>0</v>
      </c>
      <c r="G92" s="202"/>
      <c r="H92" s="1911"/>
      <c r="I92" s="2153"/>
    </row>
    <row r="93" spans="1:9" ht="15" customHeight="1" x14ac:dyDescent="0.2">
      <c r="A93" s="2039"/>
      <c r="B93" s="2081"/>
      <c r="C93" s="314" t="str">
        <f>F!C163</f>
        <v>One depth class covering 51-90% of the AA's inundated area.</v>
      </c>
      <c r="D93" s="431">
        <f>F!D163</f>
        <v>0</v>
      </c>
      <c r="E93" s="377">
        <v>1</v>
      </c>
      <c r="F93" s="377">
        <f>D93*E93</f>
        <v>0</v>
      </c>
      <c r="G93" s="257"/>
      <c r="H93" s="1911"/>
      <c r="I93" s="2153"/>
    </row>
    <row r="94" spans="1:9" ht="15" customHeight="1" thickBot="1" x14ac:dyDescent="0.25">
      <c r="A94" s="2079"/>
      <c r="B94" s="2082"/>
      <c r="C94" s="315" t="str">
        <f>F!C164</f>
        <v>Multiple depth classes and none occupy more than 50% of the AA.</v>
      </c>
      <c r="D94" s="102">
        <f>F!D164</f>
        <v>0</v>
      </c>
      <c r="E94" s="244">
        <v>2</v>
      </c>
      <c r="F94" s="244">
        <f>D94*E94</f>
        <v>0</v>
      </c>
      <c r="G94" s="258"/>
      <c r="H94" s="1978"/>
      <c r="I94" s="2154"/>
    </row>
    <row r="95" spans="1:9" ht="39" thickBot="1" x14ac:dyDescent="0.25">
      <c r="A95" s="1979" t="str">
        <f>F!A173</f>
        <v>F33</v>
      </c>
      <c r="B95" s="1984" t="str">
        <f>F!B173</f>
        <v xml:space="preserve">% of Ponded Water That Is Open </v>
      </c>
      <c r="C95" s="450" t="str">
        <f>F!C173</f>
        <v>In ducks-eye aerial view, the percentage of the ponded water that is open (lacking emergent vegetation during most of the growing season, and unhidden by a forest or shrub canopy) is:</v>
      </c>
      <c r="D95" s="372"/>
      <c r="E95" s="376"/>
      <c r="F95" s="262"/>
      <c r="G95" s="225">
        <f>IF((AllSat1&gt;0),"",IF((NoPonded=1),"", IF((SmallAA=1),"", MAX(F96:F101)/MAX(E96:E101))))</f>
        <v>0</v>
      </c>
      <c r="H95" s="1867" t="s">
        <v>801</v>
      </c>
      <c r="I95" s="2132" t="s">
        <v>1169</v>
      </c>
    </row>
    <row r="96" spans="1:9" ht="27" customHeight="1" x14ac:dyDescent="0.2">
      <c r="A96" s="1980"/>
      <c r="B96" s="1985"/>
      <c r="C96" s="451" t="str">
        <f>F!C174</f>
        <v>None, or &lt;1% of the AA and largest pool occupies &lt;0.01 hectares.  Enter "1" and SKIP to F41 (Floating Algae &amp; Duckweed).</v>
      </c>
      <c r="D96" s="382">
        <f>F!D174</f>
        <v>0</v>
      </c>
      <c r="E96" s="377">
        <v>1</v>
      </c>
      <c r="F96" s="377">
        <f t="shared" ref="F96:F101" si="2">D96*E96</f>
        <v>0</v>
      </c>
      <c r="G96" s="202"/>
      <c r="H96" s="1911"/>
      <c r="I96" s="2133"/>
    </row>
    <row r="97" spans="1:9" ht="15" customHeight="1" x14ac:dyDescent="0.2">
      <c r="A97" s="1980"/>
      <c r="B97" s="1985"/>
      <c r="C97" s="364" t="str">
        <f>F!C175</f>
        <v>1-5% of the ponded water.  Enter "1" and SKIP to F41.</v>
      </c>
      <c r="D97" s="382">
        <f>F!D175</f>
        <v>0</v>
      </c>
      <c r="E97" s="377">
        <v>3</v>
      </c>
      <c r="F97" s="377">
        <f t="shared" si="2"/>
        <v>0</v>
      </c>
      <c r="G97" s="257"/>
      <c r="H97" s="1911"/>
      <c r="I97" s="2133"/>
    </row>
    <row r="98" spans="1:9" ht="15" customHeight="1" x14ac:dyDescent="0.2">
      <c r="A98" s="1980"/>
      <c r="B98" s="1985"/>
      <c r="C98" s="364" t="str">
        <f>F!C176</f>
        <v>5-30% of the ponded water.</v>
      </c>
      <c r="D98" s="382">
        <f>F!D176</f>
        <v>0</v>
      </c>
      <c r="E98" s="377">
        <v>4</v>
      </c>
      <c r="F98" s="377">
        <f t="shared" si="2"/>
        <v>0</v>
      </c>
      <c r="G98" s="257"/>
      <c r="H98" s="1911"/>
      <c r="I98" s="2133"/>
    </row>
    <row r="99" spans="1:9" ht="15" customHeight="1" x14ac:dyDescent="0.2">
      <c r="A99" s="1980"/>
      <c r="B99" s="1985"/>
      <c r="C99" s="364" t="str">
        <f>F!C177</f>
        <v>30-70% of the ponded water.</v>
      </c>
      <c r="D99" s="382">
        <f>F!D177</f>
        <v>0</v>
      </c>
      <c r="E99" s="377">
        <v>6</v>
      </c>
      <c r="F99" s="377">
        <f t="shared" si="2"/>
        <v>0</v>
      </c>
      <c r="G99" s="257"/>
      <c r="H99" s="1911"/>
      <c r="I99" s="2133"/>
    </row>
    <row r="100" spans="1:9" ht="15" customHeight="1" x14ac:dyDescent="0.2">
      <c r="A100" s="1980"/>
      <c r="B100" s="1985"/>
      <c r="C100" s="364" t="str">
        <f>F!C178</f>
        <v>70-99% of the ponded water.</v>
      </c>
      <c r="D100" s="382">
        <f>F!D178</f>
        <v>0</v>
      </c>
      <c r="E100" s="377">
        <v>2</v>
      </c>
      <c r="F100" s="377">
        <f t="shared" si="2"/>
        <v>0</v>
      </c>
      <c r="G100" s="433"/>
      <c r="H100" s="1911"/>
      <c r="I100" s="2133"/>
    </row>
    <row r="101" spans="1:9" ht="15" customHeight="1" thickBot="1" x14ac:dyDescent="0.25">
      <c r="A101" s="2021"/>
      <c r="B101" s="2005"/>
      <c r="C101" s="478" t="str">
        <f>F!C179</f>
        <v xml:space="preserve">100% of the ponded water. </v>
      </c>
      <c r="D101" s="191">
        <f>F!D179</f>
        <v>0</v>
      </c>
      <c r="E101" s="244">
        <v>0</v>
      </c>
      <c r="F101" s="244">
        <f t="shared" si="2"/>
        <v>0</v>
      </c>
      <c r="G101" s="258"/>
      <c r="H101" s="1978"/>
      <c r="I101" s="2140"/>
    </row>
    <row r="102" spans="1:9" ht="30" customHeight="1" thickBot="1" x14ac:dyDescent="0.25">
      <c r="A102" s="2075" t="str">
        <f>F!A199</f>
        <v>F37</v>
      </c>
      <c r="B102" s="1911" t="str">
        <f>F!B199</f>
        <v>Interspersion of Robust Emergents &amp; Open Water</v>
      </c>
      <c r="C102" s="1397" t="str">
        <f>F!C199</f>
        <v>During most of the part of the growing season when water is present, the spatial pattern of robust herbaceous vegetation (e.g., cattail, tall bulrush, buckbean) is mostly:</v>
      </c>
      <c r="D102" s="437"/>
      <c r="E102" s="239"/>
      <c r="F102" s="259"/>
      <c r="G102" s="219">
        <f>IF((AllSat1&gt;0),"",IF((NoPonded=1),"",IF((NoOpenPonded+NoOpenPonded1&gt;0),"",IF((AllOpenPond=1),"", IF((SmallAA=1),"", MAX(F103:F105)/MAX(E103:E105))))))</f>
        <v>0</v>
      </c>
      <c r="H102" s="1911" t="s">
        <v>93</v>
      </c>
      <c r="I102" s="2009" t="s">
        <v>1170</v>
      </c>
    </row>
    <row r="103" spans="1:9" ht="15" customHeight="1" x14ac:dyDescent="0.2">
      <c r="A103" s="2075"/>
      <c r="B103" s="1911"/>
      <c r="C103" s="575" t="str">
        <f>F!C200</f>
        <v>Scattered.  More than 30% of such vegetation forms small islands or corridors surrounded by water.</v>
      </c>
      <c r="D103" s="180">
        <f>F!D200</f>
        <v>0</v>
      </c>
      <c r="E103" s="241">
        <v>2</v>
      </c>
      <c r="F103" s="241">
        <f>D103*E103</f>
        <v>0</v>
      </c>
      <c r="G103" s="265"/>
      <c r="H103" s="1911"/>
      <c r="I103" s="2009"/>
    </row>
    <row r="104" spans="1:9" ht="15" customHeight="1" x14ac:dyDescent="0.2">
      <c r="A104" s="2075"/>
      <c r="B104" s="1911"/>
      <c r="C104" s="576" t="str">
        <f>F!C201</f>
        <v>Intermediate.</v>
      </c>
      <c r="D104" s="91">
        <f>F!D201</f>
        <v>0</v>
      </c>
      <c r="E104" s="241">
        <v>1</v>
      </c>
      <c r="F104" s="241">
        <f>D104*E104</f>
        <v>0</v>
      </c>
      <c r="G104" s="265"/>
      <c r="H104" s="1911"/>
      <c r="I104" s="2009"/>
    </row>
    <row r="105" spans="1:9" ht="34.5" customHeight="1" thickBot="1" x14ac:dyDescent="0.25">
      <c r="A105" s="2075"/>
      <c r="B105" s="1911"/>
      <c r="C105" s="762" t="str">
        <f>F!C202</f>
        <v>Clumped. More than 70% of such vegetation is in bands along the wetland perimeter or is clumped at one or a few sides of the surface water area.</v>
      </c>
      <c r="D105" s="792">
        <f>F!D202</f>
        <v>0</v>
      </c>
      <c r="E105" s="380">
        <v>0</v>
      </c>
      <c r="F105" s="380">
        <f>D105*E105</f>
        <v>0</v>
      </c>
      <c r="G105" s="720"/>
      <c r="H105" s="1911"/>
      <c r="I105" s="2009"/>
    </row>
    <row r="106" spans="1:9" ht="45" customHeight="1" thickBot="1" x14ac:dyDescent="0.25">
      <c r="A106" s="1992" t="str">
        <f>F!A204</f>
        <v>F39</v>
      </c>
      <c r="B106" s="1867" t="str">
        <f>F!B204</f>
        <v>Non-vegetated Aquatic Cover</v>
      </c>
      <c r="C106" s="352" t="str">
        <f>F!C204</f>
        <v>During most of the growing season and in waters deeper than 0.5 m, the cover for fish, aquatic invertebrates, and/or amphibians that is provided NOT by living vegetation, but by accumulations of dead wood and undercut banks is:</v>
      </c>
      <c r="D106" s="372"/>
      <c r="E106" s="376"/>
      <c r="F106" s="376"/>
      <c r="G106" s="225" t="str">
        <f>IF((AllSat1&gt;0),"",IF((OpenW=0),"", IF((SmallAA=1),"", MAX(F107:F109)/MAX(E107:E109))))</f>
        <v/>
      </c>
      <c r="H106" s="1867" t="s">
        <v>90</v>
      </c>
      <c r="I106" s="2008" t="s">
        <v>1255</v>
      </c>
    </row>
    <row r="107" spans="1:9" ht="27" customHeight="1" x14ac:dyDescent="0.2">
      <c r="A107" s="1991"/>
      <c r="B107" s="1911"/>
      <c r="C107" s="575" t="str">
        <f>F!C205</f>
        <v>Little or none</v>
      </c>
      <c r="D107" s="354">
        <f>F!D205</f>
        <v>0</v>
      </c>
      <c r="E107" s="377">
        <v>0</v>
      </c>
      <c r="F107" s="377">
        <f>D107*E107</f>
        <v>0</v>
      </c>
      <c r="G107" s="257"/>
      <c r="H107" s="1911"/>
      <c r="I107" s="2009"/>
    </row>
    <row r="108" spans="1:9" ht="27" customHeight="1" x14ac:dyDescent="0.2">
      <c r="A108" s="1991"/>
      <c r="B108" s="1911"/>
      <c r="C108" s="576" t="str">
        <f>F!C206</f>
        <v>Intermediate</v>
      </c>
      <c r="D108" s="354">
        <f>F!D206</f>
        <v>0</v>
      </c>
      <c r="E108" s="377">
        <v>1</v>
      </c>
      <c r="F108" s="377">
        <f>D108*E108</f>
        <v>0</v>
      </c>
      <c r="G108" s="257"/>
      <c r="H108" s="1911"/>
      <c r="I108" s="2009"/>
    </row>
    <row r="109" spans="1:9" ht="34.5" customHeight="1" thickBot="1" x14ac:dyDescent="0.25">
      <c r="A109" s="1993"/>
      <c r="B109" s="1978"/>
      <c r="C109" s="445" t="str">
        <f>F!C207</f>
        <v>Extensive</v>
      </c>
      <c r="D109" s="94">
        <f>F!D207</f>
        <v>0</v>
      </c>
      <c r="E109" s="244">
        <v>2</v>
      </c>
      <c r="F109" s="244">
        <f>D109*E109</f>
        <v>0</v>
      </c>
      <c r="G109" s="258"/>
      <c r="H109" s="1978"/>
      <c r="I109" s="2010"/>
    </row>
    <row r="110" spans="1:9" ht="21" customHeight="1" thickBot="1" x14ac:dyDescent="0.25">
      <c r="A110" s="1979" t="str">
        <f>F!A211</f>
        <v>F43</v>
      </c>
      <c r="B110" s="1984" t="str">
        <f>F!B211</f>
        <v>pH Measurement</v>
      </c>
      <c r="C110" s="452" t="str">
        <f>F!C211</f>
        <v>The pH in most of the AA's surface water:</v>
      </c>
      <c r="D110" s="777"/>
      <c r="E110" s="376"/>
      <c r="F110" s="262"/>
      <c r="G110" s="358">
        <f>IF((AllSat1&gt;0),"",IF((SmallAA=1),"", IF((D111=1),"", IF((D114&lt;4),0,IF((D114&gt;5&lt;9),1,0.5)))))</f>
        <v>0</v>
      </c>
      <c r="H110" s="1867" t="s">
        <v>649</v>
      </c>
      <c r="I110" s="2120" t="s">
        <v>2171</v>
      </c>
    </row>
    <row r="111" spans="1:9" ht="27" customHeight="1" x14ac:dyDescent="0.2">
      <c r="A111" s="1980"/>
      <c r="B111" s="1985"/>
      <c r="C111" s="924" t="str">
        <f>F!C212</f>
        <v>was not measured because no surface water could be found during this visit. Enter "1" in column to the right.</v>
      </c>
      <c r="D111" s="763">
        <f>F!D212</f>
        <v>0</v>
      </c>
      <c r="E111" s="722"/>
      <c r="F111" s="380"/>
      <c r="G111" s="259"/>
      <c r="H111" s="1911"/>
      <c r="I111" s="1987"/>
    </row>
    <row r="112" spans="1:9" ht="17.25" customHeight="1" x14ac:dyDescent="0.2">
      <c r="A112" s="1980"/>
      <c r="B112" s="1985"/>
      <c r="C112" s="924" t="str">
        <f>F!C213</f>
        <v>was not measured, and surface water is tea-colored. Enter "1" in column to the right.</v>
      </c>
      <c r="D112" s="763">
        <f>F!D213</f>
        <v>0</v>
      </c>
      <c r="E112" s="722"/>
      <c r="F112" s="380"/>
      <c r="G112" s="857"/>
      <c r="H112" s="1911"/>
      <c r="I112" s="1987"/>
    </row>
    <row r="113" spans="1:9" ht="18.75" customHeight="1" x14ac:dyDescent="0.2">
      <c r="A113" s="1980"/>
      <c r="B113" s="1985"/>
      <c r="C113" s="924" t="str">
        <f>F!C214</f>
        <v>was not measured but surface water is NOT tea-colored. Enter "1" in column to the right.</v>
      </c>
      <c r="D113" s="763">
        <f>F!D214</f>
        <v>0</v>
      </c>
      <c r="E113" s="380"/>
      <c r="F113" s="380"/>
      <c r="G113" s="720"/>
      <c r="H113" s="1911"/>
      <c r="I113" s="1987"/>
    </row>
    <row r="114" spans="1:9" ht="15" customHeight="1" thickBot="1" x14ac:dyDescent="0.25">
      <c r="A114" s="2021"/>
      <c r="B114" s="2005"/>
      <c r="C114" s="449" t="str">
        <f>F!C215</f>
        <v>was measured, and is:  [enter the reading in the column to the right]:</v>
      </c>
      <c r="D114" s="793">
        <f>F!D215</f>
        <v>0</v>
      </c>
      <c r="E114" s="244"/>
      <c r="F114" s="244"/>
      <c r="G114" s="720"/>
      <c r="H114" s="1978"/>
      <c r="I114" s="1988"/>
    </row>
    <row r="115" spans="1:9" ht="21" customHeight="1" thickBot="1" x14ac:dyDescent="0.25">
      <c r="A115" s="1867" t="str">
        <f>F!A216</f>
        <v>F44</v>
      </c>
      <c r="B115" s="1992" t="str">
        <f>F!B216</f>
        <v>TDS and/or Conductivity</v>
      </c>
      <c r="C115" s="791" t="str">
        <f>F!C216</f>
        <v>The Total Dissolved Solids (TDS) and/or Conductivity in most of the AA's surface water:</v>
      </c>
      <c r="D115" s="777"/>
      <c r="E115" s="256"/>
      <c r="F115" s="256"/>
      <c r="G115" s="784" t="str">
        <f>IF((D116=1),"",IF((D119+D120=0),"", IF((D117=1),0,MAX(G119,G120))))</f>
        <v/>
      </c>
      <c r="H115" s="2011" t="s">
        <v>1725</v>
      </c>
      <c r="I115" s="2008" t="s">
        <v>2394</v>
      </c>
    </row>
    <row r="116" spans="1:9" ht="27" customHeight="1" x14ac:dyDescent="0.2">
      <c r="A116" s="1911"/>
      <c r="B116" s="1991"/>
      <c r="C116" s="858" t="str">
        <f>F!C217</f>
        <v>was not measured because no surface water could be found during this visit. Enter "1" in column to the right.</v>
      </c>
      <c r="D116" s="733">
        <f>F!D217</f>
        <v>0</v>
      </c>
      <c r="E116" s="722"/>
      <c r="F116" s="722"/>
      <c r="G116" s="859"/>
      <c r="H116" s="2040"/>
      <c r="I116" s="2009"/>
    </row>
    <row r="117" spans="1:9" ht="27" customHeight="1" x14ac:dyDescent="0.2">
      <c r="A117" s="1911"/>
      <c r="B117" s="1991"/>
      <c r="C117" s="860" t="str">
        <f>F!C218</f>
        <v>was not measured, and plants that indicate saline conditions are absent or in trace amounts. Enter "1" in column to the right.</v>
      </c>
      <c r="D117" s="733">
        <f>F!D218</f>
        <v>0</v>
      </c>
      <c r="E117" s="722"/>
      <c r="F117" s="722"/>
      <c r="G117" s="859"/>
      <c r="H117" s="2040"/>
      <c r="I117" s="2009"/>
    </row>
    <row r="118" spans="1:9" ht="27" customHeight="1" thickBot="1" x14ac:dyDescent="0.25">
      <c r="A118" s="1911"/>
      <c r="B118" s="1991"/>
      <c r="C118" s="860" t="str">
        <f>F!C219</f>
        <v>was not measured, but plants that indicate saline conditions are present. Enter "1" in column to the right.</v>
      </c>
      <c r="D118" s="733">
        <f>F!D219</f>
        <v>0</v>
      </c>
      <c r="E118" s="722"/>
      <c r="F118" s="722"/>
      <c r="G118" s="1054"/>
      <c r="H118" s="2040"/>
      <c r="I118" s="2009"/>
    </row>
    <row r="119" spans="1:9" ht="27" customHeight="1" thickBot="1" x14ac:dyDescent="0.25">
      <c r="A119" s="1911"/>
      <c r="B119" s="1991"/>
      <c r="C119" s="860" t="str">
        <f>F!C220</f>
        <v>TDS is: [enter the reading in ppm or mg/L in the column to the right if measured, or answer next row]:</v>
      </c>
      <c r="D119" s="733">
        <f>F!D220</f>
        <v>0</v>
      </c>
      <c r="E119" s="722"/>
      <c r="F119" s="722"/>
      <c r="G119" s="784">
        <f>IF((D119=""),"", IF((D119&lt;100),0, IF((D119&gt;500),0, D119/500)))</f>
        <v>0</v>
      </c>
      <c r="H119" s="2040"/>
      <c r="I119" s="2009"/>
    </row>
    <row r="120" spans="1:9" ht="15" customHeight="1" thickBot="1" x14ac:dyDescent="0.25">
      <c r="A120" s="1978"/>
      <c r="B120" s="1991"/>
      <c r="C120" s="939" t="str">
        <f>F!C221</f>
        <v>Conductivity is  [enter the reading in µS/cm in the column to the right]:</v>
      </c>
      <c r="D120" s="370">
        <f>F!D221</f>
        <v>0</v>
      </c>
      <c r="E120" s="380"/>
      <c r="F120" s="380"/>
      <c r="G120" s="784">
        <f>IF((D120=""),"", IF((D120&lt;20),0, IF((D120&gt;800),0, D120/800)))</f>
        <v>0</v>
      </c>
      <c r="H120" s="2041"/>
      <c r="I120" s="2009"/>
    </row>
    <row r="121" spans="1:9" ht="21" customHeight="1" thickBot="1" x14ac:dyDescent="0.25">
      <c r="A121" s="2089" t="str">
        <f>F!A222</f>
        <v>F45</v>
      </c>
      <c r="B121" s="2089" t="str">
        <f>F!B222</f>
        <v>Beaver Probability</v>
      </c>
      <c r="C121" s="1051" t="str">
        <f>F!C222</f>
        <v>Use of the AA by beaver during the past 5 years is (select most applicable ONE):</v>
      </c>
      <c r="D121" s="777"/>
      <c r="E121" s="376"/>
      <c r="F121" s="376"/>
      <c r="G121" s="225">
        <f>MAX(F122:F124)/MAX(E122:E124)</f>
        <v>0</v>
      </c>
      <c r="H121" s="2150" t="s">
        <v>1723</v>
      </c>
      <c r="I121" s="2144" t="s">
        <v>1331</v>
      </c>
    </row>
    <row r="122" spans="1:9" ht="28.5" customHeight="1" x14ac:dyDescent="0.2">
      <c r="A122" s="2090"/>
      <c r="B122" s="2090"/>
      <c r="C122" s="1079" t="str">
        <f>F!C223</f>
        <v>evident from direct observation or presence of gnawed limbs, dams, tracks, dens, lodges, or extensive stands of water-killed trees (snags).</v>
      </c>
      <c r="D122" s="1080">
        <f>F!D223</f>
        <v>0</v>
      </c>
      <c r="E122" s="722">
        <v>2</v>
      </c>
      <c r="F122" s="380">
        <f>D122*E122</f>
        <v>0</v>
      </c>
      <c r="G122" s="202"/>
      <c r="H122" s="2058"/>
      <c r="I122" s="2145"/>
    </row>
    <row r="123" spans="1:9" ht="54" customHeight="1" x14ac:dyDescent="0.2">
      <c r="A123" s="2090"/>
      <c r="B123" s="2090"/>
      <c r="C123" s="1081" t="str">
        <f>F!C224</f>
        <v>likely based on known occurrence in the region and proximity to suitable habitat, which may include: (a) a persistent freshwater wetland, pond, or lake, or a perennial low or mid-gradient (&lt;10%) channel, and (b) a corridor or multiple stands of hardwood trees and shrubs in vegetated areas near surface water.</v>
      </c>
      <c r="D123" s="795">
        <f>F!D224</f>
        <v>0</v>
      </c>
      <c r="E123" s="722">
        <v>1</v>
      </c>
      <c r="F123" s="380">
        <f>D123*E123</f>
        <v>0</v>
      </c>
      <c r="G123" s="202"/>
      <c r="H123" s="2058"/>
      <c r="I123" s="2145"/>
    </row>
    <row r="124" spans="1:9" ht="43.5" customHeight="1" thickBot="1" x14ac:dyDescent="0.25">
      <c r="A124" s="2091"/>
      <c r="B124" s="2091"/>
      <c r="C124" s="1082" t="str">
        <f>F!C225</f>
        <v>unlikely because site characteristics above are deficient, and/or this is a settled area or other area where beaver are routinely removed.  But beaver occur in this part of the region (i.e., within 25 km).</v>
      </c>
      <c r="D124" s="1083">
        <f>F!D225</f>
        <v>0</v>
      </c>
      <c r="E124" s="244">
        <v>0</v>
      </c>
      <c r="F124" s="244">
        <f>D124*E124</f>
        <v>0</v>
      </c>
      <c r="G124" s="277"/>
      <c r="H124" s="2059"/>
      <c r="I124" s="2146"/>
    </row>
    <row r="125" spans="1:9" ht="30" customHeight="1" thickBot="1" x14ac:dyDescent="0.25">
      <c r="A125" s="1911" t="str">
        <f>F!A227</f>
        <v>F47</v>
      </c>
      <c r="B125" s="1911" t="str">
        <f>F!B227</f>
        <v>Through Flow Pattern</v>
      </c>
      <c r="C125" s="1416" t="str">
        <f>F!C227</f>
        <v>During its travel through the AA at the time of peak annual flow, water arriving in channels: [select only the ONE encountered by most of the incoming water].</v>
      </c>
      <c r="D125" s="736"/>
      <c r="E125" s="239"/>
      <c r="F125" s="259"/>
      <c r="G125" s="219" t="str">
        <f>IF((AllSat1=1),"", IF((Inflows=0),"", MAX(F126:F130)/MAX(E126:E130)))</f>
        <v/>
      </c>
      <c r="H125" s="1911" t="s">
        <v>94</v>
      </c>
      <c r="I125" s="2133" t="s">
        <v>1171</v>
      </c>
    </row>
    <row r="126" spans="1:9" ht="42" customHeight="1" x14ac:dyDescent="0.2">
      <c r="A126" s="1911"/>
      <c r="B126" s="1911"/>
      <c r="C126" s="495" t="str">
        <f>F!C228</f>
        <v>Does not bump into plant stems as it travels through the AA.  Nearly all the water continues to travel in unvegetated (often incised) channels that have minimal contact with wetland vegetation, or through a zone of open water such as an instream pond or lake.</v>
      </c>
      <c r="D126" s="493">
        <f>F!D228</f>
        <v>0</v>
      </c>
      <c r="E126" s="239">
        <v>0</v>
      </c>
      <c r="F126" s="239">
        <f>D126*E126</f>
        <v>0</v>
      </c>
      <c r="G126" s="202"/>
      <c r="H126" s="1911"/>
      <c r="I126" s="2133"/>
    </row>
    <row r="127" spans="1:9" x14ac:dyDescent="0.2">
      <c r="A127" s="1911"/>
      <c r="B127" s="1911"/>
      <c r="C127" s="112" t="str">
        <f>F!C229</f>
        <v>bumps into herbaceous vegetation but mostly remains in fairly straight channels.</v>
      </c>
      <c r="D127" s="468">
        <f>F!D229</f>
        <v>0</v>
      </c>
      <c r="E127" s="377">
        <v>1</v>
      </c>
      <c r="F127" s="377">
        <f>D127*E127</f>
        <v>0</v>
      </c>
      <c r="G127" s="257"/>
      <c r="H127" s="1911"/>
      <c r="I127" s="2133"/>
    </row>
    <row r="128" spans="1:9" ht="27" customHeight="1" x14ac:dyDescent="0.2">
      <c r="A128" s="1911"/>
      <c r="B128" s="1911"/>
      <c r="C128" s="404" t="str">
        <f>F!C230</f>
        <v>bumps into herbaceous vegetation and mostly spreads throughout, or is in widely  meandering, multi-branched, or braided channels.</v>
      </c>
      <c r="D128" s="494">
        <f>F!D230</f>
        <v>0</v>
      </c>
      <c r="E128" s="377">
        <v>2</v>
      </c>
      <c r="F128" s="377">
        <f>D128*E128</f>
        <v>0</v>
      </c>
      <c r="G128" s="257"/>
      <c r="H128" s="1911"/>
      <c r="I128" s="2133"/>
    </row>
    <row r="129" spans="1:9" ht="18.75" customHeight="1" x14ac:dyDescent="0.2">
      <c r="A129" s="1911"/>
      <c r="B129" s="1911"/>
      <c r="C129" s="457" t="str">
        <f>F!C231</f>
        <v>bumps into tree trunks and/or shrub stems but mostly remains in fairly straight channels.</v>
      </c>
      <c r="D129" s="359">
        <f>F!D231</f>
        <v>0</v>
      </c>
      <c r="E129" s="377">
        <v>1</v>
      </c>
      <c r="F129" s="377">
        <f>D129*E129</f>
        <v>0</v>
      </c>
      <c r="G129" s="257"/>
      <c r="H129" s="1911"/>
      <c r="I129" s="2133"/>
    </row>
    <row r="130" spans="1:9" ht="27.6" customHeight="1" thickBot="1" x14ac:dyDescent="0.25">
      <c r="A130" s="1978"/>
      <c r="B130" s="1978"/>
      <c r="C130" s="405" t="str">
        <f>F!C232</f>
        <v>bumps into tree trunks and/or shrub stems and follows a fairly indirect path from entrance to exit (meandering, multi-branched, or braided).</v>
      </c>
      <c r="D130" s="496">
        <f>F!D232</f>
        <v>0</v>
      </c>
      <c r="E130" s="244">
        <v>2</v>
      </c>
      <c r="F130" s="244">
        <f>D130*E130</f>
        <v>0</v>
      </c>
      <c r="G130" s="258"/>
      <c r="H130" s="1978"/>
      <c r="I130" s="2140"/>
    </row>
    <row r="131" spans="1:9" ht="21" customHeight="1" thickBot="1" x14ac:dyDescent="0.25">
      <c r="A131" s="1867" t="str">
        <f>F!A243</f>
        <v>F50</v>
      </c>
      <c r="B131" s="1867" t="str">
        <f>F!B243</f>
        <v>Groundwater: Strength of Evidence</v>
      </c>
      <c r="C131" s="352" t="str">
        <f>F!C243</f>
        <v xml:space="preserve">Select first applicable choice. </v>
      </c>
      <c r="D131" s="372"/>
      <c r="E131" s="376"/>
      <c r="F131" s="262"/>
      <c r="G131" s="225">
        <f>IF((D134=1),"",MAX(F132:F134)/MAX(E132:E134))</f>
        <v>0</v>
      </c>
      <c r="H131" s="1867" t="s">
        <v>101</v>
      </c>
      <c r="I131" s="2008" t="s">
        <v>1172</v>
      </c>
    </row>
    <row r="132" spans="1:9" ht="53.25" customHeight="1" x14ac:dyDescent="0.2">
      <c r="A132" s="1911"/>
      <c r="B132" s="1911"/>
      <c r="C132" s="575" t="str">
        <f>F!C244</f>
        <v xml:space="preserve">Springs are known to be present within the AA, or if groundwater levels have been monitored, that has demonstrated that groundwater primarily discharges to the wetland for longer periods during the year than periods when the wetland recharges the groundwater. 
</v>
      </c>
      <c r="D132" s="180">
        <f>F!D244</f>
        <v>0</v>
      </c>
      <c r="E132" s="377">
        <v>3</v>
      </c>
      <c r="F132" s="436">
        <f>D132*E132</f>
        <v>0</v>
      </c>
      <c r="G132" s="202"/>
      <c r="H132" s="1911"/>
      <c r="I132" s="2009"/>
    </row>
    <row r="133" spans="1:9" ht="84" customHeight="1" x14ac:dyDescent="0.2">
      <c r="A133" s="1911"/>
      <c r="B133" s="1911"/>
      <c r="C133" s="576" t="str">
        <f>F!C245</f>
        <v xml:space="preserve">If surface water is present, its pH (Q44) is &gt;5.5 AND one or more of the following are true: (a) the AA is located very close to the base of (but mostly not ON) a natural slope much steeper (usually &gt;15%) than that within the AA and longer than 100 m, OR
(b) rust deposits ("iron floc"), colored precipitates, or dispersible natural oil sheen are prevalent in the AA, OR
(c) AA is located at a geologic fault.
</v>
      </c>
      <c r="D133" s="354">
        <f>F!D245</f>
        <v>0</v>
      </c>
      <c r="E133" s="377">
        <v>2</v>
      </c>
      <c r="F133" s="436">
        <f>D133*E133</f>
        <v>0</v>
      </c>
      <c r="G133" s="257"/>
      <c r="H133" s="1911"/>
      <c r="I133" s="2009"/>
    </row>
    <row r="134" spans="1:9" ht="27" customHeight="1" thickBot="1" x14ac:dyDescent="0.25">
      <c r="A134" s="1978"/>
      <c r="B134" s="1978"/>
      <c r="C134" s="445" t="str">
        <f>F!C246</f>
        <v>Neither of above is true, although some groundwater may discharge to or flow through the AA.  Or groundwater influx is unknown.</v>
      </c>
      <c r="D134" s="94">
        <f>F!D246</f>
        <v>0</v>
      </c>
      <c r="E134" s="244">
        <v>0</v>
      </c>
      <c r="F134" s="266">
        <f>D134*E134</f>
        <v>0</v>
      </c>
      <c r="G134" s="258"/>
      <c r="H134" s="1978"/>
      <c r="I134" s="2010"/>
    </row>
    <row r="135" spans="1:9" ht="54" customHeight="1" thickBot="1" x14ac:dyDescent="0.25">
      <c r="A135" s="2075" t="str">
        <f>F!A252</f>
        <v>F52</v>
      </c>
      <c r="B135" s="1911" t="str">
        <f>F!B252</f>
        <v>Percent of Buffer with Perennial Vegetation</v>
      </c>
      <c r="C135" s="877" t="str">
        <f>F!C252</f>
        <v>Extending 30 m on all sides from the AA's edge,  the percentage that contains water or perennial vegetation taller than 10 cm during most of the growing season is:</v>
      </c>
      <c r="D135" s="437"/>
      <c r="E135" s="239"/>
      <c r="F135" s="259"/>
      <c r="G135" s="231">
        <f>MAX(F136:F140)/MAX(E136:E140)</f>
        <v>0</v>
      </c>
      <c r="H135" s="1867" t="s">
        <v>559</v>
      </c>
      <c r="I135" s="2133" t="s">
        <v>405</v>
      </c>
    </row>
    <row r="136" spans="1:9" ht="51" customHeight="1" x14ac:dyDescent="0.2">
      <c r="A136" s="2075"/>
      <c r="B136" s="1911"/>
      <c r="C136" s="426" t="str">
        <f>F!C253</f>
        <v xml:space="preserve">&lt;5% </v>
      </c>
      <c r="D136" s="91">
        <f>F!D253</f>
        <v>0</v>
      </c>
      <c r="E136" s="241">
        <v>0</v>
      </c>
      <c r="F136" s="241">
        <f t="shared" ref="F136:F147" si="3">D136*E136</f>
        <v>0</v>
      </c>
      <c r="G136" s="202"/>
      <c r="H136" s="1911"/>
      <c r="I136" s="2133"/>
    </row>
    <row r="137" spans="1:9" ht="51" customHeight="1" x14ac:dyDescent="0.2">
      <c r="A137" s="2075"/>
      <c r="B137" s="1911"/>
      <c r="C137" s="362" t="str">
        <f>F!C254</f>
        <v>5 to 30%</v>
      </c>
      <c r="D137" s="91">
        <f>F!D254</f>
        <v>0</v>
      </c>
      <c r="E137" s="241">
        <v>2</v>
      </c>
      <c r="F137" s="241">
        <f t="shared" si="3"/>
        <v>0</v>
      </c>
      <c r="G137" s="257"/>
      <c r="H137" s="1911"/>
      <c r="I137" s="2133"/>
    </row>
    <row r="138" spans="1:9" ht="51" customHeight="1" x14ac:dyDescent="0.2">
      <c r="A138" s="2075"/>
      <c r="B138" s="1911"/>
      <c r="C138" s="362" t="str">
        <f>F!C255</f>
        <v>30 to 60%</v>
      </c>
      <c r="D138" s="91">
        <f>F!D255</f>
        <v>0</v>
      </c>
      <c r="E138" s="241">
        <v>3</v>
      </c>
      <c r="F138" s="241">
        <f t="shared" si="3"/>
        <v>0</v>
      </c>
      <c r="G138" s="257"/>
      <c r="H138" s="1911"/>
      <c r="I138" s="2133"/>
    </row>
    <row r="139" spans="1:9" ht="51" customHeight="1" x14ac:dyDescent="0.2">
      <c r="A139" s="2075"/>
      <c r="B139" s="1911"/>
      <c r="C139" s="362" t="str">
        <f>F!C256</f>
        <v>60 to 90%</v>
      </c>
      <c r="D139" s="91">
        <f>F!D256</f>
        <v>0</v>
      </c>
      <c r="E139" s="241">
        <v>4</v>
      </c>
      <c r="F139" s="241">
        <f t="shared" si="3"/>
        <v>0</v>
      </c>
      <c r="G139" s="257"/>
      <c r="H139" s="1911"/>
      <c r="I139" s="2133"/>
    </row>
    <row r="140" spans="1:9" ht="63" customHeight="1" thickBot="1" x14ac:dyDescent="0.25">
      <c r="A140" s="2075"/>
      <c r="B140" s="1911"/>
      <c r="C140" s="361" t="str">
        <f>F!C257</f>
        <v>&gt;90%, or the AA does not adjoin any upland  SKIP to F54 (Cliffs).</v>
      </c>
      <c r="D140" s="370">
        <f>F!D257</f>
        <v>0</v>
      </c>
      <c r="E140" s="380">
        <v>6</v>
      </c>
      <c r="F140" s="380">
        <f t="shared" si="3"/>
        <v>0</v>
      </c>
      <c r="G140" s="433"/>
      <c r="H140" s="1978"/>
      <c r="I140" s="2133"/>
    </row>
    <row r="141" spans="1:9" ht="26.25" thickBot="1" x14ac:dyDescent="0.25">
      <c r="A141" s="1992" t="str">
        <f>F!A258</f>
        <v>F53</v>
      </c>
      <c r="B141" s="1867" t="str">
        <f>F!B258</f>
        <v>Type of Cover in Buffer</v>
      </c>
      <c r="C141" s="90" t="str">
        <f>F!C258</f>
        <v>Within the 30 m zone described above, the area that is NOT perennial vegetation or water is mostly (mark ONE):</v>
      </c>
      <c r="D141" s="372"/>
      <c r="E141" s="376"/>
      <c r="F141" s="262"/>
      <c r="G141" s="225">
        <f>IF((BuffAllNat=1),"",MAX(F142:F143)/MAX(E142:E143))</f>
        <v>0</v>
      </c>
      <c r="H141" s="1867" t="s">
        <v>2400</v>
      </c>
      <c r="I141" s="2151" t="s">
        <v>864</v>
      </c>
    </row>
    <row r="142" spans="1:9" ht="15" customHeight="1" x14ac:dyDescent="0.2">
      <c r="A142" s="1991"/>
      <c r="B142" s="1911"/>
      <c r="C142" s="426" t="str">
        <f>F!C259</f>
        <v>impervious surface, e.g., paved road, parking lot, building, exposed rock.</v>
      </c>
      <c r="D142" s="354">
        <f>F!D259</f>
        <v>0</v>
      </c>
      <c r="E142" s="377">
        <v>0</v>
      </c>
      <c r="F142" s="377">
        <f t="shared" si="3"/>
        <v>0</v>
      </c>
      <c r="G142" s="202"/>
      <c r="H142" s="1911"/>
      <c r="I142" s="2133"/>
    </row>
    <row r="143" spans="1:9" ht="26.25" thickBot="1" x14ac:dyDescent="0.25">
      <c r="A143" s="1991"/>
      <c r="B143" s="1911"/>
      <c r="C143" s="747" t="str">
        <f>F!C260</f>
        <v>bare or nearly bare pervious surface or managed vegetation, e.g., lawn, annual crops, mostly-unvegetated clearcut, landslide, unpaved road, drill pad, dike.</v>
      </c>
      <c r="D143" s="370">
        <f>F!D260</f>
        <v>0</v>
      </c>
      <c r="E143" s="380">
        <v>1</v>
      </c>
      <c r="F143" s="380">
        <f t="shared" si="3"/>
        <v>0</v>
      </c>
      <c r="G143" s="721"/>
      <c r="H143" s="1911"/>
      <c r="I143" s="2133"/>
    </row>
    <row r="144" spans="1:9" ht="20.45" customHeight="1" thickBot="1" x14ac:dyDescent="0.25">
      <c r="A144" s="2067" t="str">
        <f>F!A269</f>
        <v>F56</v>
      </c>
      <c r="B144" s="2067" t="str">
        <f>F!B269</f>
        <v>Burn History</v>
      </c>
      <c r="C144" s="1053" t="str">
        <f>F!C269</f>
        <v>More than 1% of the AA's previously vegetated area:</v>
      </c>
      <c r="D144" s="376"/>
      <c r="E144" s="376"/>
      <c r="F144" s="262"/>
      <c r="G144" s="1085">
        <f>IF((D148=1), "", MAX(F145:F147)/MAX(E145:E147))</f>
        <v>0</v>
      </c>
      <c r="H144" s="1867" t="s">
        <v>1724</v>
      </c>
      <c r="I144" s="2008" t="s">
        <v>2470</v>
      </c>
    </row>
    <row r="145" spans="1:16" ht="20.45" customHeight="1" x14ac:dyDescent="0.2">
      <c r="A145" s="2068"/>
      <c r="B145" s="2068"/>
      <c r="C145" s="725" t="str">
        <f>F!C270</f>
        <v>burned within past 5 years.</v>
      </c>
      <c r="D145" s="752">
        <f>F!D270</f>
        <v>0</v>
      </c>
      <c r="E145" s="722">
        <v>0</v>
      </c>
      <c r="F145" s="722">
        <f t="shared" si="3"/>
        <v>0</v>
      </c>
      <c r="G145" s="775"/>
      <c r="H145" s="1911"/>
      <c r="I145" s="2009"/>
    </row>
    <row r="146" spans="1:16" ht="20.45" customHeight="1" x14ac:dyDescent="0.2">
      <c r="A146" s="2068"/>
      <c r="B146" s="2068"/>
      <c r="C146" s="724" t="str">
        <f>F!C271</f>
        <v>burned 6-10 years ago.</v>
      </c>
      <c r="D146" s="752">
        <f>F!D271</f>
        <v>0</v>
      </c>
      <c r="E146" s="722">
        <v>2</v>
      </c>
      <c r="F146" s="722">
        <f t="shared" si="3"/>
        <v>0</v>
      </c>
      <c r="G146" s="775"/>
      <c r="H146" s="1911"/>
      <c r="I146" s="2009"/>
    </row>
    <row r="147" spans="1:16" ht="20.45" customHeight="1" x14ac:dyDescent="0.2">
      <c r="A147" s="2068"/>
      <c r="B147" s="2068"/>
      <c r="C147" s="724" t="str">
        <f>F!C272</f>
        <v>burned 11-30 years ago.</v>
      </c>
      <c r="D147" s="752">
        <f>F!D272</f>
        <v>0</v>
      </c>
      <c r="E147" s="722">
        <v>1</v>
      </c>
      <c r="F147" s="722">
        <f t="shared" si="3"/>
        <v>0</v>
      </c>
      <c r="G147" s="775"/>
      <c r="H147" s="1911"/>
      <c r="I147" s="2009"/>
    </row>
    <row r="148" spans="1:16" ht="27" customHeight="1" thickBot="1" x14ac:dyDescent="0.25">
      <c r="A148" s="2069"/>
      <c r="B148" s="2069"/>
      <c r="C148" s="727" t="str">
        <f>F!C273</f>
        <v>burned &gt;30 years ago, or no evidence of a burn and no data.</v>
      </c>
      <c r="D148" s="1052">
        <f>F!D273</f>
        <v>0</v>
      </c>
      <c r="E148" s="244"/>
      <c r="F148" s="266"/>
      <c r="G148" s="258"/>
      <c r="H148" s="1978"/>
      <c r="I148" s="2010"/>
    </row>
    <row r="149" spans="1:16" s="10" customFormat="1" ht="75" customHeight="1" thickBot="1" x14ac:dyDescent="0.25">
      <c r="A149" s="475" t="str">
        <f>S!A3</f>
        <v>S1</v>
      </c>
      <c r="B149" s="1401" t="str">
        <f>S!B3</f>
        <v>Aberrant Hydrologic Regime</v>
      </c>
      <c r="C149" s="610" t="str">
        <f>S!E24</f>
        <v>Stressor Subscore=</v>
      </c>
      <c r="D149" s="1055">
        <f>S!F24</f>
        <v>0</v>
      </c>
      <c r="E149" s="1056"/>
      <c r="F149" s="283"/>
      <c r="G149" s="219">
        <f>1-S!F24</f>
        <v>1</v>
      </c>
      <c r="H149" s="1401" t="s">
        <v>98</v>
      </c>
      <c r="I149" s="1422" t="s">
        <v>2395</v>
      </c>
      <c r="J149" s="150"/>
      <c r="K149" s="21"/>
      <c r="L149" s="110"/>
      <c r="M149" s="21"/>
      <c r="N149" s="21"/>
      <c r="O149" s="21"/>
      <c r="P149" s="21"/>
    </row>
    <row r="150" spans="1:16" s="10" customFormat="1" ht="99" customHeight="1" thickBot="1" x14ac:dyDescent="0.25">
      <c r="A150" s="488" t="str">
        <f>S!A25</f>
        <v>S2</v>
      </c>
      <c r="B150" s="1400" t="str">
        <f>S!B25</f>
        <v>Accelerated Inputs of Contaminants and/or Salts</v>
      </c>
      <c r="C150" s="489" t="s">
        <v>469</v>
      </c>
      <c r="D150" s="1057">
        <f>S!F39</f>
        <v>0</v>
      </c>
      <c r="E150" s="1056"/>
      <c r="F150" s="490"/>
      <c r="G150" s="491">
        <f>1-(S!F25)</f>
        <v>1</v>
      </c>
      <c r="H150" s="1400" t="s">
        <v>648</v>
      </c>
      <c r="I150" s="1417" t="s">
        <v>1859</v>
      </c>
      <c r="J150" s="150"/>
      <c r="K150" s="21"/>
      <c r="M150" s="21"/>
      <c r="N150" s="21"/>
      <c r="O150" s="21"/>
      <c r="P150" s="21"/>
    </row>
    <row r="151" spans="1:16" s="10" customFormat="1" ht="84" customHeight="1" thickBot="1" x14ac:dyDescent="0.25">
      <c r="A151" s="474" t="str">
        <f>S!A53</f>
        <v>S4</v>
      </c>
      <c r="B151" s="482" t="str">
        <f>S!B53</f>
        <v>Excessive Sediment Loading from Contributing Area</v>
      </c>
      <c r="C151" s="85" t="str">
        <f>S!E70</f>
        <v>Stressor Subscore=</v>
      </c>
      <c r="D151" s="1055">
        <f>(S!F70)</f>
        <v>0</v>
      </c>
      <c r="E151" s="1056"/>
      <c r="F151" s="284"/>
      <c r="G151" s="225">
        <f>1-(S!F70)</f>
        <v>1</v>
      </c>
      <c r="H151" s="481" t="s">
        <v>99</v>
      </c>
      <c r="I151" s="797" t="s">
        <v>1336</v>
      </c>
      <c r="J151" s="150"/>
      <c r="K151" s="21"/>
      <c r="L151" s="21"/>
      <c r="M151" s="21"/>
      <c r="N151" s="21"/>
      <c r="O151" s="21"/>
      <c r="P151" s="21"/>
    </row>
    <row r="152" spans="1:16" s="10" customFormat="1" ht="45" customHeight="1" thickBot="1" x14ac:dyDescent="0.25">
      <c r="A152" s="475" t="str">
        <f>S!A71</f>
        <v>S5</v>
      </c>
      <c r="B152" s="483" t="str">
        <f>S!B71</f>
        <v>Soil or Sediment Alteration Within the Assessment Area</v>
      </c>
      <c r="C152" s="1059" t="str">
        <f>S!E88</f>
        <v>Stressor Subscore=</v>
      </c>
      <c r="D152" s="1058">
        <f>S!F88</f>
        <v>0</v>
      </c>
      <c r="E152" s="1056"/>
      <c r="F152" s="283"/>
      <c r="G152" s="219">
        <f>1-(S!F88)</f>
        <v>1</v>
      </c>
      <c r="H152" s="1401" t="s">
        <v>100</v>
      </c>
      <c r="I152" s="1422" t="s">
        <v>57</v>
      </c>
      <c r="J152" s="150"/>
      <c r="K152" s="21"/>
      <c r="L152" s="21"/>
      <c r="M152" s="21"/>
      <c r="N152" s="21"/>
      <c r="O152" s="21"/>
      <c r="P152" s="21"/>
    </row>
    <row r="153" spans="1:16" ht="21" customHeight="1" thickBot="1" x14ac:dyDescent="0.25">
      <c r="A153" s="394"/>
      <c r="B153" s="394"/>
      <c r="D153" s="609"/>
      <c r="E153" s="609"/>
      <c r="F153" s="609"/>
      <c r="G153" s="609"/>
      <c r="H153" s="827" t="s">
        <v>406</v>
      </c>
      <c r="I153" s="827"/>
    </row>
    <row r="154" spans="1:16" s="5" customFormat="1" ht="21" customHeight="1" thickBot="1" x14ac:dyDescent="0.25">
      <c r="A154" s="110"/>
      <c r="B154" s="110"/>
      <c r="C154" s="391" t="s">
        <v>740</v>
      </c>
      <c r="D154" s="610"/>
      <c r="E154" s="610"/>
      <c r="F154" s="610"/>
      <c r="G154" s="610"/>
      <c r="J154" s="441"/>
      <c r="K154" s="110"/>
    </row>
    <row r="155" spans="1:16" s="5" customFormat="1" ht="26.25" thickBot="1" x14ac:dyDescent="0.25">
      <c r="A155" s="110"/>
      <c r="B155" s="110"/>
      <c r="C155" s="83" t="s">
        <v>2396</v>
      </c>
      <c r="D155" s="507"/>
      <c r="E155" s="507"/>
      <c r="F155" s="507"/>
      <c r="G155" s="285">
        <f>AVERAGE(Girreg8, Groundw8, GWDspring, SatPct8, PermWpct8, SeasPct8, Beaver8)</f>
        <v>0</v>
      </c>
      <c r="J155" s="140"/>
      <c r="K155" s="110"/>
    </row>
    <row r="156" spans="1:16" s="5" customFormat="1" ht="21" customHeight="1" thickBot="1" x14ac:dyDescent="0.25">
      <c r="A156" s="110"/>
      <c r="B156" s="110"/>
      <c r="D156" s="827"/>
      <c r="E156" s="827"/>
      <c r="F156" s="827"/>
      <c r="G156" s="827"/>
      <c r="J156" s="441"/>
      <c r="K156" s="110"/>
    </row>
    <row r="157" spans="1:16" s="5" customFormat="1" ht="21" customHeight="1" thickBot="1" x14ac:dyDescent="0.25">
      <c r="A157" s="110"/>
      <c r="B157" s="110"/>
      <c r="C157" s="392" t="s">
        <v>741</v>
      </c>
      <c r="D157" s="1027"/>
      <c r="E157" s="1027"/>
      <c r="F157" s="1027"/>
      <c r="G157" s="1027"/>
      <c r="J157" s="441"/>
      <c r="K157" s="110"/>
    </row>
    <row r="158" spans="1:16" s="5" customFormat="1" ht="39" thickBot="1" x14ac:dyDescent="0.25">
      <c r="C158" s="408" t="s">
        <v>2471</v>
      </c>
      <c r="D158" s="293"/>
      <c r="E158" s="293"/>
      <c r="F158" s="293"/>
      <c r="G158" s="285">
        <f>AVERAGE(WetPerim2Area, WetVegArea, MAX(ClassRichIn, ClassRichIn8),OWpct8, HerbDiv8, ThruFlo8, WoodDown8, Burn8, Interspers8, VegIntersp8, DepthDiv8, AqCov8)</f>
        <v>0</v>
      </c>
      <c r="J158" s="441"/>
      <c r="K158" s="110"/>
    </row>
    <row r="159" spans="1:16" s="5" customFormat="1" ht="21" customHeight="1" thickBot="1" x14ac:dyDescent="0.25">
      <c r="A159" s="1246"/>
      <c r="B159" s="1246"/>
      <c r="D159" s="827"/>
      <c r="E159" s="827"/>
      <c r="F159" s="827"/>
      <c r="G159" s="827"/>
      <c r="J159" s="441"/>
      <c r="K159" s="110"/>
    </row>
    <row r="160" spans="1:16" s="5" customFormat="1" ht="21" customHeight="1" thickBot="1" x14ac:dyDescent="0.25">
      <c r="A160" s="1246"/>
      <c r="B160" s="1246"/>
      <c r="C160" s="391" t="s">
        <v>742</v>
      </c>
      <c r="D160" s="1027"/>
      <c r="E160" s="1027"/>
      <c r="F160" s="1027"/>
      <c r="G160" s="1027"/>
      <c r="J160" s="441"/>
      <c r="K160" s="110"/>
    </row>
    <row r="161" spans="1:11" s="5" customFormat="1" ht="30.6" customHeight="1" thickBot="1" x14ac:dyDescent="0.25">
      <c r="A161" s="1246"/>
      <c r="B161" s="1246"/>
      <c r="C161" s="83" t="s">
        <v>2472</v>
      </c>
      <c r="D161" s="507"/>
      <c r="E161" s="507"/>
      <c r="F161" s="507"/>
      <c r="G161" s="285">
        <f>AVERAGE(GrowDD, Conduc8, AVERAGE(Wettype8,Stain8,Moss8), Depth8, Fluctu8, Nfixers8,WoodyPct8)</f>
        <v>0.1</v>
      </c>
      <c r="J161" s="441"/>
      <c r="K161" s="110"/>
    </row>
    <row r="162" spans="1:11" s="6" customFormat="1" ht="21" customHeight="1" thickBot="1" x14ac:dyDescent="0.25">
      <c r="A162" s="1246"/>
      <c r="B162" s="1246"/>
      <c r="C162" s="110"/>
      <c r="D162" s="617"/>
      <c r="E162" s="617"/>
      <c r="F162" s="617"/>
      <c r="G162" s="142"/>
      <c r="H162" s="5"/>
      <c r="I162" s="5"/>
      <c r="J162" s="441"/>
      <c r="K162" s="110"/>
    </row>
    <row r="163" spans="1:11" s="5" customFormat="1" ht="21" customHeight="1" thickBot="1" x14ac:dyDescent="0.25">
      <c r="A163" s="1246"/>
      <c r="B163" s="1246"/>
      <c r="C163" s="391" t="s">
        <v>746</v>
      </c>
      <c r="D163" s="618"/>
      <c r="E163" s="618"/>
      <c r="F163" s="618"/>
      <c r="G163" s="458"/>
      <c r="J163" s="441"/>
      <c r="K163" s="110"/>
    </row>
    <row r="164" spans="1:11" s="5" customFormat="1" ht="26.25" thickBot="1" x14ac:dyDescent="0.25">
      <c r="A164" s="1246"/>
      <c r="B164" s="1246"/>
      <c r="C164" s="83" t="s">
        <v>2473</v>
      </c>
      <c r="D164" s="507"/>
      <c r="E164" s="507"/>
      <c r="F164" s="507"/>
      <c r="G164" s="285">
        <f>AVERAGE(SedCA8, Toxic8, AltTime8, SoilDisturb8, BuffNatPct8, NatCov1k,CUbuffPctNat8)</f>
        <v>0.66666666666666663</v>
      </c>
      <c r="J164" s="441"/>
      <c r="K164" s="110"/>
    </row>
    <row r="165" spans="1:11" s="5" customFormat="1" ht="21" customHeight="1" thickBot="1" x14ac:dyDescent="0.25">
      <c r="A165" s="1246"/>
      <c r="B165" s="1246"/>
      <c r="D165" s="827"/>
      <c r="E165" s="827"/>
      <c r="F165" s="827"/>
      <c r="G165" s="827"/>
      <c r="J165" s="441"/>
      <c r="K165" s="110"/>
    </row>
    <row r="166" spans="1:11" s="5" customFormat="1" ht="21" customHeight="1" thickBot="1" x14ac:dyDescent="0.25">
      <c r="A166" s="1246"/>
      <c r="B166" s="1246"/>
      <c r="C166" s="393" t="s">
        <v>846</v>
      </c>
      <c r="J166" s="441"/>
      <c r="K166" s="110"/>
    </row>
    <row r="167" spans="1:11" s="5" customFormat="1" ht="21" customHeight="1" thickBot="1" x14ac:dyDescent="0.25">
      <c r="A167" s="1246"/>
      <c r="B167" s="1246"/>
      <c r="C167" s="409" t="s">
        <v>738</v>
      </c>
      <c r="D167" s="1027"/>
      <c r="E167" s="1027"/>
      <c r="F167" s="1027"/>
      <c r="G167" s="1027"/>
      <c r="J167" s="441"/>
      <c r="K167" s="110"/>
    </row>
    <row r="168" spans="1:11" s="5" customFormat="1" ht="30" customHeight="1" thickBot="1" x14ac:dyDescent="0.25">
      <c r="A168" s="1246"/>
      <c r="B168" s="1246"/>
      <c r="C168" s="83" t="s">
        <v>2474</v>
      </c>
      <c r="D168" s="507"/>
      <c r="E168" s="507"/>
      <c r="F168" s="507"/>
      <c r="G168" s="297">
        <f>10*AVERAGE(Wettype8, UniqMarshShallowOW, AVERAGE(WaterI1a, HabStrucI1a,  CfixI1a, StressI1a))</f>
        <v>0.95833333333333326</v>
      </c>
      <c r="J168" s="441"/>
      <c r="K168" s="110"/>
    </row>
    <row r="169" spans="1:11" ht="21" customHeight="1" thickBot="1" x14ac:dyDescent="0.25">
      <c r="A169" s="110"/>
      <c r="B169" s="110"/>
      <c r="C169" s="110"/>
      <c r="D169" s="110"/>
      <c r="E169" s="110"/>
      <c r="F169" s="110"/>
      <c r="G169" s="110"/>
      <c r="H169" s="1389"/>
      <c r="I169" s="120" t="s">
        <v>293</v>
      </c>
    </row>
    <row r="170" spans="1:11" ht="42" customHeight="1" x14ac:dyDescent="0.2">
      <c r="A170" s="588"/>
      <c r="B170" s="412"/>
      <c r="C170" s="1589"/>
      <c r="D170" s="1497"/>
      <c r="E170" s="110"/>
      <c r="F170" s="110"/>
      <c r="G170" s="110"/>
      <c r="H170" s="1389"/>
      <c r="I170" s="1435" t="s">
        <v>324</v>
      </c>
    </row>
    <row r="171" spans="1:11" ht="38.25" x14ac:dyDescent="0.3">
      <c r="A171" s="588"/>
      <c r="B171" s="1645"/>
      <c r="C171" s="1646"/>
      <c r="D171" s="1497"/>
      <c r="E171" s="110"/>
      <c r="F171" s="110"/>
      <c r="G171" s="110"/>
      <c r="H171" s="1389"/>
      <c r="I171" s="1436" t="s">
        <v>331</v>
      </c>
    </row>
    <row r="172" spans="1:11" ht="51" x14ac:dyDescent="0.3">
      <c r="A172" s="588"/>
      <c r="B172" s="1647"/>
      <c r="C172" s="1593"/>
      <c r="D172" s="1468"/>
      <c r="E172" s="110"/>
      <c r="F172" s="110"/>
      <c r="G172" s="110"/>
      <c r="H172" s="1389"/>
      <c r="I172" s="1436" t="s">
        <v>1098</v>
      </c>
    </row>
    <row r="173" spans="1:11" ht="38.25" x14ac:dyDescent="0.3">
      <c r="A173" s="588"/>
      <c r="B173" s="1647"/>
      <c r="C173" s="1593"/>
      <c r="D173" s="1468"/>
      <c r="E173" s="110"/>
      <c r="F173" s="110"/>
      <c r="G173" s="110"/>
      <c r="H173" s="1389"/>
      <c r="I173" s="1436" t="s">
        <v>533</v>
      </c>
    </row>
    <row r="174" spans="1:11" ht="42" customHeight="1" x14ac:dyDescent="0.3">
      <c r="A174" s="588"/>
      <c r="B174" s="1647"/>
      <c r="C174" s="1593"/>
      <c r="D174" s="1468"/>
      <c r="E174" s="110"/>
      <c r="F174" s="110"/>
      <c r="G174" s="110"/>
      <c r="H174" s="1389"/>
      <c r="I174" s="114" t="s">
        <v>332</v>
      </c>
    </row>
    <row r="175" spans="1:11" ht="38.25" x14ac:dyDescent="0.3">
      <c r="A175" s="588"/>
      <c r="B175" s="1647"/>
      <c r="C175" s="1593"/>
      <c r="D175" s="1468"/>
      <c r="E175" s="110"/>
      <c r="F175" s="110"/>
      <c r="G175" s="110"/>
      <c r="H175" s="1389"/>
      <c r="I175" s="1436" t="s">
        <v>333</v>
      </c>
    </row>
    <row r="176" spans="1:11" ht="30.75" customHeight="1" x14ac:dyDescent="0.3">
      <c r="A176" s="588"/>
      <c r="B176" s="1645"/>
      <c r="C176" s="1593"/>
      <c r="D176" s="1469"/>
      <c r="E176" s="110"/>
      <c r="F176" s="110"/>
      <c r="G176" s="110"/>
      <c r="H176" s="1389"/>
      <c r="I176" s="1436" t="s">
        <v>334</v>
      </c>
    </row>
    <row r="177" spans="1:9" ht="51" x14ac:dyDescent="0.2">
      <c r="A177" s="588"/>
      <c r="B177" s="412"/>
      <c r="C177" s="588"/>
      <c r="D177" s="1554"/>
      <c r="E177" s="110"/>
      <c r="F177" s="110"/>
      <c r="G177" s="110"/>
      <c r="H177" s="1389"/>
      <c r="I177" s="1436" t="s">
        <v>335</v>
      </c>
    </row>
    <row r="178" spans="1:9" ht="54" customHeight="1" x14ac:dyDescent="0.2">
      <c r="A178" s="588"/>
      <c r="B178" s="412"/>
      <c r="C178" s="1464"/>
      <c r="D178" s="1554"/>
      <c r="E178" s="110"/>
      <c r="F178" s="110"/>
      <c r="G178" s="110"/>
      <c r="H178" s="1389"/>
      <c r="I178" s="1436" t="s">
        <v>336</v>
      </c>
    </row>
    <row r="179" spans="1:9" ht="39" thickBot="1" x14ac:dyDescent="0.35">
      <c r="A179" s="588"/>
      <c r="B179" s="1645"/>
      <c r="C179" s="1646"/>
      <c r="D179" s="1554"/>
      <c r="E179" s="110"/>
      <c r="F179" s="110"/>
      <c r="G179" s="110"/>
      <c r="H179" s="1389"/>
      <c r="I179" s="1432" t="s">
        <v>337</v>
      </c>
    </row>
    <row r="180" spans="1:9" ht="64.5" thickBot="1" x14ac:dyDescent="0.35">
      <c r="A180" s="588"/>
      <c r="B180" s="1645"/>
      <c r="C180" s="1646"/>
      <c r="D180" s="1554"/>
      <c r="E180" s="110"/>
      <c r="F180" s="110"/>
      <c r="G180" s="110"/>
      <c r="H180" s="1389"/>
      <c r="I180" s="794" t="s">
        <v>2015</v>
      </c>
    </row>
    <row r="181" spans="1:9" ht="42" customHeight="1" x14ac:dyDescent="0.3">
      <c r="A181" s="588"/>
      <c r="B181" s="1647"/>
      <c r="C181" s="1593"/>
      <c r="D181" s="1468"/>
      <c r="E181" s="110"/>
      <c r="F181" s="110"/>
      <c r="G181" s="110"/>
      <c r="H181" s="1389"/>
      <c r="I181" s="1430" t="s">
        <v>327</v>
      </c>
    </row>
    <row r="182" spans="1:9" ht="51" x14ac:dyDescent="0.3">
      <c r="A182" s="588"/>
      <c r="B182" s="1647"/>
      <c r="C182" s="1593"/>
      <c r="D182" s="1468"/>
      <c r="E182" s="110"/>
      <c r="F182" s="110"/>
      <c r="G182" s="110"/>
      <c r="H182" s="1389"/>
      <c r="I182" s="1436" t="s">
        <v>338</v>
      </c>
    </row>
    <row r="183" spans="1:9" ht="38.25" x14ac:dyDescent="0.3">
      <c r="A183" s="588"/>
      <c r="B183" s="1647"/>
      <c r="C183" s="1593"/>
      <c r="D183" s="1468"/>
      <c r="E183" s="110"/>
      <c r="F183" s="110"/>
      <c r="G183" s="110"/>
      <c r="H183" s="1389"/>
      <c r="I183" s="1436" t="s">
        <v>339</v>
      </c>
    </row>
    <row r="184" spans="1:9" ht="42" customHeight="1" x14ac:dyDescent="0.3">
      <c r="A184" s="588"/>
      <c r="B184" s="1647"/>
      <c r="C184" s="1593"/>
      <c r="D184" s="1468"/>
      <c r="E184" s="110"/>
      <c r="F184" s="110"/>
      <c r="G184" s="110"/>
      <c r="H184" s="1389"/>
      <c r="I184" s="1436" t="s">
        <v>1243</v>
      </c>
    </row>
    <row r="185" spans="1:9" ht="54" customHeight="1" thickBot="1" x14ac:dyDescent="0.35">
      <c r="A185" s="588"/>
      <c r="B185" s="1645"/>
      <c r="C185" s="1593"/>
      <c r="D185" s="1469"/>
      <c r="E185" s="110"/>
      <c r="F185" s="110"/>
      <c r="G185" s="110"/>
      <c r="H185" s="1389"/>
      <c r="I185" s="1432" t="s">
        <v>1242</v>
      </c>
    </row>
    <row r="186" spans="1:9" ht="42" customHeight="1" thickBot="1" x14ac:dyDescent="0.35">
      <c r="A186" s="588"/>
      <c r="B186" s="1645"/>
      <c r="C186" s="1593"/>
      <c r="D186" s="1469"/>
      <c r="E186" s="110"/>
      <c r="F186" s="110"/>
      <c r="G186" s="110"/>
      <c r="H186" s="1389"/>
      <c r="I186" s="838" t="s">
        <v>2017</v>
      </c>
    </row>
    <row r="187" spans="1:9" ht="42" customHeight="1" x14ac:dyDescent="0.2">
      <c r="A187" s="588"/>
      <c r="B187" s="588"/>
      <c r="C187" s="588"/>
      <c r="D187" s="588"/>
      <c r="E187" s="110"/>
      <c r="F187" s="110"/>
      <c r="G187" s="110"/>
      <c r="H187" s="1389"/>
      <c r="I187" s="1084" t="s">
        <v>340</v>
      </c>
    </row>
    <row r="188" spans="1:9" ht="44.25" customHeight="1" x14ac:dyDescent="0.2">
      <c r="A188" s="110"/>
      <c r="B188" s="110"/>
      <c r="C188" s="110"/>
      <c r="D188" s="110"/>
      <c r="E188" s="110"/>
      <c r="F188" s="110"/>
      <c r="G188" s="110"/>
      <c r="H188" s="1389"/>
      <c r="I188" s="1436" t="s">
        <v>341</v>
      </c>
    </row>
    <row r="189" spans="1:9" ht="31.5" customHeight="1" x14ac:dyDescent="0.2">
      <c r="A189" s="110"/>
      <c r="B189" s="110"/>
      <c r="C189" s="110"/>
      <c r="D189" s="110"/>
      <c r="E189" s="110"/>
      <c r="F189" s="110"/>
      <c r="G189" s="110"/>
      <c r="H189" s="1389"/>
      <c r="I189" s="1436" t="s">
        <v>342</v>
      </c>
    </row>
    <row r="190" spans="1:9" ht="42" customHeight="1" x14ac:dyDescent="0.2">
      <c r="A190" s="110"/>
      <c r="B190" s="110"/>
      <c r="C190" s="110"/>
      <c r="D190" s="110"/>
      <c r="E190" s="110"/>
      <c r="F190" s="110"/>
      <c r="G190" s="110"/>
      <c r="H190" s="1389"/>
      <c r="I190" s="1436" t="s">
        <v>343</v>
      </c>
    </row>
    <row r="191" spans="1:9" ht="38.25" x14ac:dyDescent="0.2">
      <c r="A191" s="110"/>
      <c r="B191" s="110"/>
      <c r="C191" s="110"/>
      <c r="D191" s="110"/>
      <c r="E191" s="110"/>
      <c r="F191" s="110"/>
      <c r="G191" s="110"/>
      <c r="H191" s="1389"/>
      <c r="I191" s="1436" t="s">
        <v>344</v>
      </c>
    </row>
    <row r="192" spans="1:9" ht="38.25" x14ac:dyDescent="0.2">
      <c r="A192" s="110"/>
      <c r="B192" s="110"/>
      <c r="C192" s="110"/>
      <c r="D192" s="110"/>
      <c r="E192" s="110"/>
      <c r="F192" s="110"/>
      <c r="G192" s="110"/>
      <c r="H192" s="1389"/>
      <c r="I192" s="1436" t="s">
        <v>345</v>
      </c>
    </row>
    <row r="193" spans="1:9" ht="29.25" customHeight="1" x14ac:dyDescent="0.2">
      <c r="A193" s="110"/>
      <c r="B193" s="110"/>
      <c r="C193" s="110"/>
      <c r="D193" s="110"/>
      <c r="E193" s="110"/>
      <c r="F193" s="110"/>
      <c r="G193" s="110"/>
      <c r="H193" s="1389"/>
      <c r="I193" s="1436" t="s">
        <v>346</v>
      </c>
    </row>
    <row r="194" spans="1:9" ht="69" customHeight="1" x14ac:dyDescent="0.2">
      <c r="A194" s="110"/>
      <c r="B194" s="110"/>
      <c r="C194" s="110"/>
      <c r="D194" s="110"/>
      <c r="E194" s="110"/>
      <c r="F194" s="110"/>
      <c r="G194" s="110"/>
      <c r="H194" s="1389"/>
      <c r="I194" s="121" t="s">
        <v>347</v>
      </c>
    </row>
    <row r="195" spans="1:9" ht="25.5" x14ac:dyDescent="0.2">
      <c r="A195" s="110"/>
      <c r="B195" s="110"/>
      <c r="C195" s="110"/>
      <c r="D195" s="110"/>
      <c r="E195" s="110"/>
      <c r="F195" s="110"/>
      <c r="G195" s="110"/>
      <c r="H195" s="1389"/>
      <c r="I195" s="1436" t="s">
        <v>348</v>
      </c>
    </row>
    <row r="196" spans="1:9" ht="38.25" x14ac:dyDescent="0.2">
      <c r="A196" s="110"/>
      <c r="B196" s="110"/>
      <c r="C196" s="110"/>
      <c r="D196" s="110"/>
      <c r="E196" s="110"/>
      <c r="F196" s="110"/>
      <c r="G196" s="110"/>
      <c r="H196" s="1389"/>
      <c r="I196" s="1436" t="s">
        <v>1262</v>
      </c>
    </row>
    <row r="197" spans="1:9" ht="38.25" x14ac:dyDescent="0.2">
      <c r="A197" s="110"/>
      <c r="B197" s="110"/>
      <c r="C197" s="110"/>
      <c r="D197" s="110"/>
      <c r="E197" s="110"/>
      <c r="F197" s="110"/>
      <c r="G197" s="110"/>
      <c r="H197" s="1389"/>
      <c r="I197" s="1436" t="s">
        <v>349</v>
      </c>
    </row>
    <row r="198" spans="1:9" ht="38.25" x14ac:dyDescent="0.2">
      <c r="A198" s="110"/>
      <c r="B198" s="110"/>
      <c r="C198" s="110"/>
      <c r="D198" s="110"/>
      <c r="E198" s="110"/>
      <c r="F198" s="110"/>
      <c r="G198" s="110"/>
      <c r="H198" s="1389"/>
      <c r="I198" s="1436" t="s">
        <v>350</v>
      </c>
    </row>
    <row r="199" spans="1:9" ht="42" customHeight="1" x14ac:dyDescent="0.2">
      <c r="A199" s="110"/>
      <c r="B199" s="110"/>
      <c r="C199" s="110"/>
      <c r="D199" s="110"/>
      <c r="E199" s="110"/>
      <c r="F199" s="110"/>
      <c r="G199" s="110"/>
      <c r="H199" s="1389"/>
      <c r="I199" s="1436" t="s">
        <v>351</v>
      </c>
    </row>
    <row r="200" spans="1:9" ht="30.75" customHeight="1" x14ac:dyDescent="0.2">
      <c r="A200" s="110"/>
      <c r="B200" s="110"/>
      <c r="C200" s="110"/>
      <c r="D200" s="110"/>
      <c r="E200" s="110"/>
      <c r="F200" s="110"/>
      <c r="G200" s="110"/>
      <c r="H200" s="1389"/>
      <c r="I200" s="1436" t="s">
        <v>352</v>
      </c>
    </row>
    <row r="201" spans="1:9" ht="51" x14ac:dyDescent="0.2">
      <c r="A201" s="110"/>
      <c r="B201" s="110"/>
      <c r="C201" s="110"/>
      <c r="D201" s="110"/>
      <c r="E201" s="110"/>
      <c r="F201" s="110"/>
      <c r="G201" s="110"/>
      <c r="H201" s="1389"/>
      <c r="I201" s="1436" t="s">
        <v>353</v>
      </c>
    </row>
    <row r="202" spans="1:9" ht="42" customHeight="1" x14ac:dyDescent="0.2">
      <c r="A202" s="110"/>
      <c r="B202" s="110"/>
      <c r="C202" s="110"/>
      <c r="D202" s="110"/>
      <c r="E202" s="110"/>
      <c r="F202" s="110"/>
      <c r="G202" s="110"/>
      <c r="H202" s="1389"/>
      <c r="I202" s="1436" t="s">
        <v>328</v>
      </c>
    </row>
    <row r="203" spans="1:9" ht="42" customHeight="1" x14ac:dyDescent="0.2">
      <c r="A203" s="110"/>
      <c r="B203" s="110"/>
      <c r="C203" s="110"/>
      <c r="D203" s="110"/>
      <c r="E203" s="110"/>
      <c r="F203" s="110"/>
      <c r="G203" s="110"/>
      <c r="H203" s="1389"/>
      <c r="I203" s="1436" t="s">
        <v>354</v>
      </c>
    </row>
    <row r="204" spans="1:9" ht="30" customHeight="1" x14ac:dyDescent="0.2">
      <c r="A204" s="110"/>
      <c r="B204" s="110"/>
      <c r="C204" s="110"/>
      <c r="D204" s="110"/>
      <c r="E204" s="110"/>
      <c r="F204" s="110"/>
      <c r="G204" s="110"/>
      <c r="H204" s="1389"/>
      <c r="I204" s="1436" t="s">
        <v>2018</v>
      </c>
    </row>
    <row r="205" spans="1:9" ht="63.75" x14ac:dyDescent="0.2">
      <c r="A205" s="110"/>
      <c r="B205" s="110"/>
      <c r="C205" s="110"/>
      <c r="D205" s="110"/>
      <c r="E205" s="110"/>
      <c r="F205" s="110"/>
      <c r="G205" s="110"/>
      <c r="H205" s="1389"/>
      <c r="I205" s="1436" t="s">
        <v>2019</v>
      </c>
    </row>
    <row r="206" spans="1:9" ht="42" customHeight="1" x14ac:dyDescent="0.2">
      <c r="A206" s="110"/>
      <c r="B206" s="110"/>
      <c r="C206" s="110"/>
      <c r="D206" s="110"/>
      <c r="E206" s="110"/>
      <c r="F206" s="110"/>
      <c r="G206" s="110"/>
      <c r="H206" s="1389"/>
      <c r="I206" s="1436" t="s">
        <v>355</v>
      </c>
    </row>
    <row r="207" spans="1:9" ht="42" customHeight="1" x14ac:dyDescent="0.2">
      <c r="A207" s="110"/>
      <c r="B207" s="110"/>
      <c r="C207" s="110"/>
      <c r="D207" s="110"/>
      <c r="E207" s="110"/>
      <c r="F207" s="110"/>
      <c r="G207" s="110"/>
      <c r="H207" s="1389"/>
      <c r="I207" s="1436" t="s">
        <v>1866</v>
      </c>
    </row>
    <row r="208" spans="1:9" ht="51.75" thickBot="1" x14ac:dyDescent="0.25">
      <c r="A208" s="110"/>
      <c r="B208" s="110"/>
      <c r="C208" s="110"/>
      <c r="D208" s="110"/>
      <c r="E208" s="110"/>
      <c r="F208" s="110"/>
      <c r="G208" s="110"/>
      <c r="H208" s="1389"/>
      <c r="I208" s="1434" t="s">
        <v>356</v>
      </c>
    </row>
    <row r="209" spans="1:9" ht="61.9" customHeight="1" x14ac:dyDescent="0.2">
      <c r="A209" s="110"/>
      <c r="B209" s="110"/>
      <c r="C209" s="110"/>
      <c r="D209" s="110"/>
      <c r="E209" s="110"/>
      <c r="F209" s="110"/>
      <c r="G209" s="110"/>
      <c r="H209" s="110"/>
      <c r="I209" s="940"/>
    </row>
    <row r="210" spans="1:9" ht="40.5" customHeight="1" x14ac:dyDescent="0.2">
      <c r="A210" s="110"/>
      <c r="B210" s="110"/>
      <c r="C210" s="110"/>
      <c r="D210" s="110"/>
      <c r="E210" s="110"/>
      <c r="F210" s="110"/>
      <c r="G210" s="110"/>
      <c r="H210" s="110"/>
    </row>
    <row r="211" spans="1:9" ht="27" customHeight="1" x14ac:dyDescent="0.2">
      <c r="A211" s="110"/>
      <c r="B211" s="110"/>
      <c r="C211" s="110"/>
      <c r="D211" s="110"/>
      <c r="E211" s="110"/>
      <c r="F211" s="110"/>
      <c r="G211" s="110"/>
      <c r="H211" s="110"/>
    </row>
    <row r="212" spans="1:9" ht="54.75" customHeight="1" x14ac:dyDescent="0.2">
      <c r="A212" s="110"/>
      <c r="B212" s="110"/>
      <c r="C212" s="110"/>
      <c r="D212" s="110"/>
      <c r="E212" s="110"/>
      <c r="F212" s="110"/>
      <c r="G212" s="110"/>
      <c r="H212" s="110"/>
    </row>
    <row r="213" spans="1:9" ht="42" customHeight="1" x14ac:dyDescent="0.2">
      <c r="A213" s="110"/>
      <c r="B213" s="110"/>
      <c r="C213" s="110"/>
      <c r="D213" s="110"/>
      <c r="E213" s="110"/>
      <c r="F213" s="110"/>
      <c r="G213" s="110"/>
      <c r="H213" s="110"/>
    </row>
    <row r="214" spans="1:9" ht="39" customHeight="1" x14ac:dyDescent="0.2">
      <c r="A214" s="110"/>
      <c r="B214" s="110"/>
      <c r="C214" s="110"/>
      <c r="D214" s="110"/>
      <c r="E214" s="110"/>
      <c r="F214" s="110"/>
      <c r="G214" s="110"/>
      <c r="H214" s="110"/>
    </row>
    <row r="215" spans="1:9" ht="27" customHeight="1" x14ac:dyDescent="0.2">
      <c r="A215" s="110"/>
      <c r="B215" s="110"/>
      <c r="C215" s="110"/>
      <c r="D215" s="110"/>
      <c r="E215" s="110"/>
      <c r="F215" s="110"/>
      <c r="G215" s="110"/>
      <c r="H215" s="110"/>
    </row>
    <row r="216" spans="1:9" ht="69" customHeight="1" x14ac:dyDescent="0.2">
      <c r="A216" s="110"/>
      <c r="B216" s="110"/>
      <c r="C216" s="110"/>
      <c r="D216" s="110"/>
      <c r="E216" s="110"/>
      <c r="F216" s="110"/>
      <c r="G216" s="110"/>
      <c r="H216" s="110"/>
    </row>
    <row r="217" spans="1:9" ht="42" customHeight="1" x14ac:dyDescent="0.2">
      <c r="A217" s="110"/>
      <c r="B217" s="110"/>
      <c r="C217" s="110"/>
      <c r="D217" s="110"/>
      <c r="E217" s="110"/>
      <c r="F217" s="110"/>
      <c r="G217" s="110"/>
      <c r="H217" s="110"/>
    </row>
    <row r="218" spans="1:9" ht="42" customHeight="1" x14ac:dyDescent="0.2">
      <c r="A218" s="110"/>
      <c r="B218" s="110"/>
      <c r="C218" s="110"/>
      <c r="D218" s="110"/>
      <c r="E218" s="110"/>
      <c r="F218" s="110"/>
      <c r="G218" s="110"/>
      <c r="H218" s="110"/>
    </row>
    <row r="219" spans="1:9" ht="55.5" customHeight="1" x14ac:dyDescent="0.2">
      <c r="A219" s="110"/>
      <c r="B219" s="110"/>
      <c r="C219" s="110"/>
      <c r="D219" s="110"/>
      <c r="E219" s="110"/>
      <c r="F219" s="110"/>
      <c r="G219" s="110"/>
      <c r="H219" s="110"/>
    </row>
    <row r="220" spans="1:9" ht="42" customHeight="1" x14ac:dyDescent="0.2">
      <c r="A220" s="21"/>
      <c r="B220" s="21"/>
      <c r="D220" s="175"/>
      <c r="E220" s="21"/>
      <c r="F220" s="21"/>
      <c r="G220" s="175"/>
    </row>
    <row r="221" spans="1:9" ht="42" customHeight="1" x14ac:dyDescent="0.2">
      <c r="A221" s="21"/>
      <c r="B221" s="21"/>
      <c r="D221" s="175"/>
      <c r="E221" s="21"/>
      <c r="F221" s="21"/>
      <c r="G221" s="175"/>
    </row>
    <row r="222" spans="1:9" ht="30" customHeight="1" x14ac:dyDescent="0.2">
      <c r="A222" s="21"/>
      <c r="B222" s="21"/>
      <c r="D222" s="175"/>
      <c r="E222" s="21"/>
      <c r="F222" s="21"/>
      <c r="G222" s="175"/>
    </row>
    <row r="223" spans="1:9" ht="70.150000000000006" customHeight="1" x14ac:dyDescent="0.2">
      <c r="A223" s="21"/>
      <c r="B223" s="21"/>
      <c r="D223" s="175"/>
      <c r="E223" s="21"/>
      <c r="F223" s="21"/>
      <c r="G223" s="175"/>
    </row>
    <row r="224" spans="1:9" ht="30.6" customHeight="1" x14ac:dyDescent="0.2">
      <c r="A224" s="21"/>
      <c r="B224" s="21"/>
      <c r="D224" s="175"/>
      <c r="E224" s="21"/>
      <c r="F224" s="21"/>
      <c r="G224" s="175"/>
    </row>
    <row r="225" spans="1:7" ht="30.6" customHeight="1" x14ac:dyDescent="0.2">
      <c r="A225" s="21"/>
      <c r="B225" s="21"/>
      <c r="D225" s="175"/>
      <c r="E225" s="21"/>
      <c r="F225" s="21"/>
      <c r="G225" s="175"/>
    </row>
    <row r="226" spans="1:7" ht="30.6" customHeight="1" x14ac:dyDescent="0.2">
      <c r="A226" s="21"/>
      <c r="B226" s="21"/>
      <c r="D226" s="175"/>
      <c r="E226" s="21"/>
      <c r="F226" s="21"/>
      <c r="G226" s="175"/>
    </row>
    <row r="227" spans="1:7" ht="42.6" customHeight="1" x14ac:dyDescent="0.2">
      <c r="A227" s="21"/>
      <c r="B227" s="21"/>
      <c r="D227" s="175"/>
      <c r="E227" s="21"/>
      <c r="F227" s="21"/>
      <c r="G227" s="175"/>
    </row>
    <row r="228" spans="1:7" ht="30.6" customHeight="1" x14ac:dyDescent="0.2">
      <c r="A228" s="21"/>
      <c r="B228" s="21"/>
      <c r="D228" s="175"/>
      <c r="E228" s="21"/>
      <c r="F228" s="21"/>
      <c r="G228" s="175"/>
    </row>
    <row r="229" spans="1:7" x14ac:dyDescent="0.2">
      <c r="A229" s="21"/>
      <c r="B229" s="21"/>
      <c r="D229" s="175"/>
      <c r="E229" s="21"/>
      <c r="F229" s="21"/>
      <c r="G229" s="175"/>
    </row>
    <row r="230" spans="1:7" ht="42.6" customHeight="1" x14ac:dyDescent="0.2">
      <c r="A230" s="21"/>
      <c r="B230" s="21"/>
      <c r="D230" s="175"/>
      <c r="E230" s="21"/>
      <c r="F230" s="21"/>
      <c r="G230" s="175"/>
    </row>
    <row r="231" spans="1:7" ht="42.6" customHeight="1" x14ac:dyDescent="0.2">
      <c r="A231" s="21"/>
      <c r="B231" s="21"/>
      <c r="D231" s="175"/>
      <c r="E231" s="21"/>
      <c r="F231" s="21"/>
      <c r="G231" s="175"/>
    </row>
    <row r="232" spans="1:7" ht="30.6" customHeight="1" x14ac:dyDescent="0.2">
      <c r="A232" s="21"/>
      <c r="B232" s="21"/>
      <c r="D232" s="175"/>
      <c r="E232" s="21"/>
      <c r="F232" s="21"/>
      <c r="G232" s="175"/>
    </row>
    <row r="233" spans="1:7" ht="70.900000000000006" customHeight="1" x14ac:dyDescent="0.2">
      <c r="A233" s="21"/>
      <c r="B233" s="21"/>
      <c r="D233" s="175"/>
      <c r="E233" s="21"/>
      <c r="F233" s="21"/>
      <c r="G233" s="175"/>
    </row>
    <row r="234" spans="1:7" ht="42" customHeight="1" x14ac:dyDescent="0.2">
      <c r="A234" s="21"/>
      <c r="B234" s="21"/>
      <c r="D234" s="175"/>
      <c r="E234" s="21"/>
      <c r="F234" s="21"/>
      <c r="G234" s="175"/>
    </row>
    <row r="235" spans="1:7" ht="43.15" customHeight="1" x14ac:dyDescent="0.2">
      <c r="A235" s="21"/>
      <c r="B235" s="21"/>
      <c r="D235" s="175"/>
      <c r="E235" s="21"/>
      <c r="F235" s="21"/>
      <c r="G235" s="175"/>
    </row>
    <row r="236" spans="1:7" ht="57" customHeight="1" x14ac:dyDescent="0.2">
      <c r="A236" s="21"/>
      <c r="B236" s="21"/>
      <c r="D236" s="175"/>
      <c r="E236" s="21"/>
      <c r="F236" s="21"/>
      <c r="G236" s="175"/>
    </row>
    <row r="237" spans="1:7" x14ac:dyDescent="0.2">
      <c r="A237" s="1402"/>
      <c r="C237" s="14"/>
    </row>
  </sheetData>
  <sheetProtection password="C4B9" sheet="1" objects="1" scenarios="1"/>
  <sortState ref="A3:P16">
    <sortCondition ref="H3:H16"/>
  </sortState>
  <customSheetViews>
    <customSheetView guid="{B8E02330-2419-4DE6-AD01-7ACC7A5D18DD}" scale="75" topLeftCell="A154">
      <selection activeCell="A2" sqref="A2:H175"/>
      <pageMargins left="0.75" right="0.75" top="1" bottom="1" header="0.5" footer="0.5"/>
      <pageSetup orientation="portrait" r:id="rId1"/>
      <headerFooter alignWithMargins="0"/>
    </customSheetView>
  </customSheetViews>
  <mergeCells count="106">
    <mergeCell ref="H115:H120"/>
    <mergeCell ref="A115:A120"/>
    <mergeCell ref="A144:A148"/>
    <mergeCell ref="H144:H148"/>
    <mergeCell ref="H141:H143"/>
    <mergeCell ref="H31:H37"/>
    <mergeCell ref="I141:I143"/>
    <mergeCell ref="H53:H56"/>
    <mergeCell ref="H57:H59"/>
    <mergeCell ref="H102:H105"/>
    <mergeCell ref="H125:H130"/>
    <mergeCell ref="I110:I114"/>
    <mergeCell ref="H110:H114"/>
    <mergeCell ref="I102:I105"/>
    <mergeCell ref="I135:I140"/>
    <mergeCell ref="I91:I94"/>
    <mergeCell ref="H41:H46"/>
    <mergeCell ref="H38:H40"/>
    <mergeCell ref="I47:I52"/>
    <mergeCell ref="I57:I59"/>
    <mergeCell ref="A73:A78"/>
    <mergeCell ref="B79:B84"/>
    <mergeCell ref="A95:A101"/>
    <mergeCell ref="B95:B101"/>
    <mergeCell ref="A79:A84"/>
    <mergeCell ref="A85:A90"/>
    <mergeCell ref="A106:A109"/>
    <mergeCell ref="B91:B94"/>
    <mergeCell ref="A141:A143"/>
    <mergeCell ref="A47:A52"/>
    <mergeCell ref="A41:A46"/>
    <mergeCell ref="B41:B46"/>
    <mergeCell ref="B47:B52"/>
    <mergeCell ref="B141:B143"/>
    <mergeCell ref="B135:B140"/>
    <mergeCell ref="A135:A140"/>
    <mergeCell ref="H135:H140"/>
    <mergeCell ref="B110:B114"/>
    <mergeCell ref="B102:B105"/>
    <mergeCell ref="H131:H134"/>
    <mergeCell ref="B115:B120"/>
    <mergeCell ref="A131:A134"/>
    <mergeCell ref="A38:A40"/>
    <mergeCell ref="A57:A59"/>
    <mergeCell ref="B53:B56"/>
    <mergeCell ref="A110:A114"/>
    <mergeCell ref="A102:A105"/>
    <mergeCell ref="A125:A130"/>
    <mergeCell ref="A53:A56"/>
    <mergeCell ref="B106:B109"/>
    <mergeCell ref="B125:B130"/>
    <mergeCell ref="B85:B90"/>
    <mergeCell ref="A91:A94"/>
    <mergeCell ref="H121:H124"/>
    <mergeCell ref="H47:H52"/>
    <mergeCell ref="B131:B134"/>
    <mergeCell ref="B121:B124"/>
    <mergeCell ref="A121:A124"/>
    <mergeCell ref="H79:H84"/>
    <mergeCell ref="H85:H90"/>
    <mergeCell ref="B144:B148"/>
    <mergeCell ref="I144:I148"/>
    <mergeCell ref="H91:H94"/>
    <mergeCell ref="H95:H101"/>
    <mergeCell ref="I95:I101"/>
    <mergeCell ref="H106:H109"/>
    <mergeCell ref="I18:I23"/>
    <mergeCell ref="I66:I72"/>
    <mergeCell ref="H66:H72"/>
    <mergeCell ref="B57:B59"/>
    <mergeCell ref="B31:B37"/>
    <mergeCell ref="B73:B78"/>
    <mergeCell ref="I73:I78"/>
    <mergeCell ref="H73:H78"/>
    <mergeCell ref="B38:B40"/>
    <mergeCell ref="I53:I56"/>
    <mergeCell ref="I41:I46"/>
    <mergeCell ref="I125:I130"/>
    <mergeCell ref="I121:I124"/>
    <mergeCell ref="I85:I90"/>
    <mergeCell ref="I79:I84"/>
    <mergeCell ref="I115:I120"/>
    <mergeCell ref="I131:I134"/>
    <mergeCell ref="I106:I109"/>
    <mergeCell ref="E1:I1"/>
    <mergeCell ref="A1:B1"/>
    <mergeCell ref="A60:A65"/>
    <mergeCell ref="A66:A72"/>
    <mergeCell ref="B11:B17"/>
    <mergeCell ref="B66:B72"/>
    <mergeCell ref="B60:B65"/>
    <mergeCell ref="A18:A23"/>
    <mergeCell ref="H11:H17"/>
    <mergeCell ref="H18:H23"/>
    <mergeCell ref="H60:H65"/>
    <mergeCell ref="I60:I65"/>
    <mergeCell ref="I11:I17"/>
    <mergeCell ref="B18:B23"/>
    <mergeCell ref="I38:I40"/>
    <mergeCell ref="I31:I37"/>
    <mergeCell ref="A11:A17"/>
    <mergeCell ref="A31:A37"/>
    <mergeCell ref="H24:H30"/>
    <mergeCell ref="B24:B30"/>
    <mergeCell ref="I24:I30"/>
    <mergeCell ref="A24:A30"/>
  </mergeCells>
  <phoneticPr fontId="12" type="noConversion"/>
  <conditionalFormatting sqref="D168 D161:D165 D149:D153 D155:D156 D158:D159 D141:D142 D133:D139 D129:D131 D122:D127 G110 D111:D114 D47 D49:D55 D57:D58 D25:D31 D40:D45 D60:D61 D63:D71 D88:D93 D95:D98 D83:D86 D104:D108 D73:D74 D76:D80 D100:D102 D11 D13:D14 D16:D23 D36:D38">
    <cfRule type="cellIs" dxfId="6" priority="3" operator="greaterThan">
      <formula>0</formula>
    </cfRule>
  </conditionalFormatting>
  <pageMargins left="0.75" right="0.75" top="1" bottom="1" header="0.5" footer="0.5"/>
  <pageSetup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167"/>
  <sheetViews>
    <sheetView zoomScaleNormal="100" workbookViewId="0">
      <selection activeCell="C8" sqref="C8"/>
    </sheetView>
  </sheetViews>
  <sheetFormatPr defaultColWidth="9.33203125" defaultRowHeight="16.5" x14ac:dyDescent="0.2"/>
  <cols>
    <col min="1" max="1" width="5.83203125" style="11" customWidth="1"/>
    <col min="2" max="2" width="18.83203125" style="118" customWidth="1"/>
    <col min="3" max="3" width="69.83203125" style="5" customWidth="1"/>
    <col min="4" max="6" width="6.83203125" style="249" customWidth="1"/>
    <col min="7" max="7" width="10.83203125" style="250" customWidth="1"/>
    <col min="8" max="8" width="14.6640625" style="19" customWidth="1"/>
    <col min="9" max="9" width="67.83203125" style="11" customWidth="1"/>
    <col min="10" max="10" width="9.33203125" style="172"/>
    <col min="11" max="16384" width="9.33203125" style="11"/>
  </cols>
  <sheetData>
    <row r="1" spans="1:12" ht="45" customHeight="1" thickBot="1" x14ac:dyDescent="0.25">
      <c r="A1" s="1976" t="s">
        <v>2169</v>
      </c>
      <c r="B1" s="1977"/>
      <c r="C1" s="60" t="s">
        <v>1239</v>
      </c>
      <c r="D1" s="100" t="s">
        <v>683</v>
      </c>
      <c r="E1" s="2168"/>
      <c r="F1" s="2169"/>
      <c r="G1" s="2169"/>
      <c r="H1" s="2169"/>
      <c r="I1" s="2170"/>
    </row>
    <row r="2" spans="1:12" s="109" customFormat="1" ht="50.25" thickBot="1" x14ac:dyDescent="0.35">
      <c r="A2" s="1008" t="s">
        <v>78</v>
      </c>
      <c r="B2" s="1009" t="s">
        <v>701</v>
      </c>
      <c r="C2" s="1010" t="s">
        <v>866</v>
      </c>
      <c r="D2" s="1008"/>
      <c r="E2" s="1011"/>
      <c r="F2" s="1012"/>
      <c r="G2" s="1013" t="s">
        <v>710</v>
      </c>
      <c r="H2" s="1009" t="s">
        <v>2028</v>
      </c>
      <c r="I2" s="1034" t="s">
        <v>255</v>
      </c>
      <c r="J2" s="1035"/>
    </row>
    <row r="3" spans="1:12" s="108" customFormat="1" ht="51.75" thickBot="1" x14ac:dyDescent="0.25">
      <c r="A3" s="418" t="str">
        <f>OF!A4</f>
        <v>OF3</v>
      </c>
      <c r="B3" s="323" t="str">
        <f>OF!C4</f>
        <v>Channel Connection</v>
      </c>
      <c r="C3" s="337" t="s">
        <v>1004</v>
      </c>
      <c r="D3" s="324"/>
      <c r="E3" s="325"/>
      <c r="F3" s="325"/>
      <c r="G3" s="345" t="str">
        <f>IF((ChannConn=""),"",ChannConn)</f>
        <v/>
      </c>
      <c r="H3" s="1360" t="s">
        <v>845</v>
      </c>
      <c r="I3" s="1368" t="s">
        <v>1001</v>
      </c>
      <c r="J3" s="148"/>
    </row>
    <row r="4" spans="1:12" s="1325" customFormat="1" ht="39" thickBot="1" x14ac:dyDescent="0.25">
      <c r="A4" s="318" t="str">
        <f>OF!A8</f>
        <v>OF7</v>
      </c>
      <c r="B4" s="318" t="str">
        <f>OF!C8</f>
        <v>Distance to Nearest Road (from Wetland Edge)</v>
      </c>
      <c r="C4" s="336"/>
      <c r="D4" s="320"/>
      <c r="E4" s="321"/>
      <c r="F4" s="321"/>
      <c r="G4" s="416" t="str">
        <f>IF((Dist2Road=""),"",Dist2Road)</f>
        <v/>
      </c>
      <c r="H4" s="332" t="s">
        <v>812</v>
      </c>
      <c r="I4" s="791" t="s">
        <v>1002</v>
      </c>
      <c r="J4" s="80"/>
      <c r="K4" s="110"/>
      <c r="L4" s="110"/>
    </row>
    <row r="5" spans="1:12" s="1325" customFormat="1" ht="51.75" thickBot="1" x14ac:dyDescent="0.25">
      <c r="A5" s="418" t="str">
        <f>OF!A14</f>
        <v>OF13</v>
      </c>
      <c r="B5" s="323" t="str">
        <f>OF!C14</f>
        <v>Fish Presence</v>
      </c>
      <c r="C5" s="337" t="s">
        <v>1005</v>
      </c>
      <c r="D5" s="324"/>
      <c r="E5" s="325"/>
      <c r="F5" s="325"/>
      <c r="G5" s="470" t="str">
        <f>IF((FishPres=""),"",IF((FishPres=1),1,""))</f>
        <v/>
      </c>
      <c r="H5" s="1360" t="s">
        <v>675</v>
      </c>
      <c r="I5" s="1362" t="s">
        <v>1003</v>
      </c>
      <c r="J5" s="80"/>
      <c r="K5" s="110"/>
      <c r="L5" s="110"/>
    </row>
    <row r="6" spans="1:12" s="110" customFormat="1" ht="30" customHeight="1" thickBot="1" x14ac:dyDescent="0.25">
      <c r="A6" s="317" t="str">
        <f>OF!A16</f>
        <v>OF15</v>
      </c>
      <c r="B6" s="318" t="str">
        <f>OF!C16</f>
        <v>Growing Degree Days</v>
      </c>
      <c r="C6" s="336"/>
      <c r="D6" s="320"/>
      <c r="E6" s="321"/>
      <c r="F6" s="321"/>
      <c r="G6" s="330" t="str">
        <f>IF((GrowDD=""),"",GrowDD)</f>
        <v/>
      </c>
      <c r="H6" s="332" t="s">
        <v>698</v>
      </c>
      <c r="I6" s="791" t="s">
        <v>554</v>
      </c>
      <c r="J6" s="80"/>
    </row>
    <row r="7" spans="1:12" s="110" customFormat="1" ht="30" customHeight="1" thickBot="1" x14ac:dyDescent="0.25">
      <c r="A7" s="317" t="str">
        <f>OF!A17</f>
        <v>OF16</v>
      </c>
      <c r="B7" s="318" t="str">
        <f>OF!C17</f>
        <v>Groundwater Discharge Area or Spring</v>
      </c>
      <c r="C7" s="336"/>
      <c r="D7" s="1259"/>
      <c r="E7" s="1260"/>
      <c r="F7" s="1260"/>
      <c r="G7" s="809" t="str">
        <f>IF((GWDspring=""),"",GWDspring)</f>
        <v/>
      </c>
      <c r="H7" s="1261" t="s">
        <v>668</v>
      </c>
      <c r="I7" s="1318" t="s">
        <v>2401</v>
      </c>
      <c r="J7" s="80"/>
    </row>
    <row r="8" spans="1:12" s="110" customFormat="1" ht="42" customHeight="1" thickBot="1" x14ac:dyDescent="0.25">
      <c r="A8" s="317" t="str">
        <f>OF!A24</f>
        <v>OF23</v>
      </c>
      <c r="B8" s="318" t="str">
        <f>OF!C24</f>
        <v>% of AA that is Open Water (macro scale)</v>
      </c>
      <c r="C8" s="336"/>
      <c r="D8" s="320"/>
      <c r="E8" s="321"/>
      <c r="F8" s="321"/>
      <c r="G8" s="330" t="str">
        <f>IF((OWpct=""),"",OWpct)</f>
        <v/>
      </c>
      <c r="H8" s="332" t="s">
        <v>787</v>
      </c>
      <c r="I8" s="836" t="s">
        <v>1240</v>
      </c>
      <c r="J8" s="1192"/>
      <c r="K8" s="1325"/>
      <c r="L8" s="1325"/>
    </row>
    <row r="9" spans="1:12" s="110" customFormat="1" ht="42" customHeight="1" thickBot="1" x14ac:dyDescent="0.25">
      <c r="A9" s="317" t="str">
        <f>OF!A32</f>
        <v>OF31</v>
      </c>
      <c r="B9" s="318" t="str">
        <f>OF!C32</f>
        <v>Road Density Within 1km Buffer</v>
      </c>
      <c r="C9" s="336"/>
      <c r="D9" s="320"/>
      <c r="E9" s="321"/>
      <c r="F9" s="321"/>
      <c r="G9" s="330" t="str">
        <f>IF((RdDens1k=""),"",RdDens1k)</f>
        <v/>
      </c>
      <c r="H9" s="332" t="s">
        <v>688</v>
      </c>
      <c r="I9" s="791" t="s">
        <v>1850</v>
      </c>
      <c r="J9" s="80"/>
    </row>
    <row r="10" spans="1:12" s="110" customFormat="1" ht="51.75" thickBot="1" x14ac:dyDescent="0.25">
      <c r="A10" s="317" t="str">
        <f>OF!A34</f>
        <v>OF33</v>
      </c>
      <c r="B10" s="864" t="str">
        <f>OF!C34</f>
        <v>Riparian or Floodway Location</v>
      </c>
      <c r="C10" s="336" t="s">
        <v>1085</v>
      </c>
      <c r="D10" s="764"/>
      <c r="E10" s="765"/>
      <c r="F10" s="765"/>
      <c r="G10" s="873" t="str">
        <f>IF((RipFloodpl=""),"",IF((RipFloodpl=1),1,""))</f>
        <v/>
      </c>
      <c r="H10" s="861" t="s">
        <v>697</v>
      </c>
      <c r="I10" s="791" t="s">
        <v>1326</v>
      </c>
      <c r="J10" s="80"/>
    </row>
    <row r="11" spans="1:12" s="110" customFormat="1" ht="30" customHeight="1" thickBot="1" x14ac:dyDescent="0.25">
      <c r="A11" s="317" t="str">
        <f>OF!A37</f>
        <v>OF36</v>
      </c>
      <c r="B11" s="864" t="str">
        <f>OF!C37</f>
        <v>Subzero Days</v>
      </c>
      <c r="C11" s="336"/>
      <c r="D11" s="764"/>
      <c r="E11" s="765"/>
      <c r="F11" s="765"/>
      <c r="G11" s="809" t="str">
        <f>IF((Sub0Days=""),"",Sub0Days)</f>
        <v/>
      </c>
      <c r="H11" s="861" t="s">
        <v>689</v>
      </c>
      <c r="I11" s="791" t="s">
        <v>555</v>
      </c>
      <c r="J11" s="80"/>
    </row>
    <row r="12" spans="1:12" s="110" customFormat="1" ht="30" customHeight="1" thickBot="1" x14ac:dyDescent="0.25">
      <c r="A12" s="418" t="str">
        <f>OF!A44</f>
        <v>OF43</v>
      </c>
      <c r="B12" s="323" t="str">
        <f>OF!C44</f>
        <v>AA Size</v>
      </c>
      <c r="C12" s="337"/>
      <c r="D12" s="324"/>
      <c r="E12" s="325"/>
      <c r="F12" s="325"/>
      <c r="G12" s="345" t="str">
        <f>IF((WetArea=""),"",WetArea)</f>
        <v/>
      </c>
      <c r="H12" s="1360" t="s">
        <v>655</v>
      </c>
      <c r="I12" s="1383" t="s">
        <v>1350</v>
      </c>
      <c r="J12" s="1192"/>
      <c r="K12" s="1596"/>
      <c r="L12" s="1325"/>
    </row>
    <row r="13" spans="1:12" s="1007" customFormat="1" ht="66.75" thickBot="1" x14ac:dyDescent="0.35">
      <c r="A13" s="997" t="s">
        <v>78</v>
      </c>
      <c r="B13" s="998" t="s">
        <v>709</v>
      </c>
      <c r="C13" s="999" t="s">
        <v>708</v>
      </c>
      <c r="D13" s="1000" t="s">
        <v>33</v>
      </c>
      <c r="E13" s="1001" t="s">
        <v>1131</v>
      </c>
      <c r="F13" s="1002" t="s">
        <v>1130</v>
      </c>
      <c r="G13" s="1003" t="s">
        <v>710</v>
      </c>
      <c r="H13" s="1004" t="s">
        <v>2028</v>
      </c>
      <c r="I13" s="1005" t="s">
        <v>917</v>
      </c>
      <c r="J13" s="1006"/>
    </row>
    <row r="14" spans="1:12" s="110" customFormat="1" ht="39" thickBot="1" x14ac:dyDescent="0.25">
      <c r="A14" s="2078" t="str">
        <f>F!A121</f>
        <v>F22</v>
      </c>
      <c r="B14" s="2152" t="str">
        <f>F!B121</f>
        <v>% Never With Surface Water</v>
      </c>
      <c r="C14" s="471" t="str">
        <f>F!C121</f>
        <v>The percentage of the AA that never contains surface water during an average year (that is, except perhaps for a few hours after snowmelt or rainstorms), but which is still a wetland, is:</v>
      </c>
      <c r="D14" s="282"/>
      <c r="E14" s="777"/>
      <c r="F14" s="256"/>
      <c r="G14" s="225">
        <f>MAX(F15:F19)/MAX(E15:E19)</f>
        <v>0</v>
      </c>
      <c r="H14" s="1867" t="s">
        <v>292</v>
      </c>
      <c r="I14" s="1867" t="s">
        <v>291</v>
      </c>
      <c r="J14" s="80"/>
    </row>
    <row r="15" spans="1:12" s="110" customFormat="1" ht="38.25" x14ac:dyDescent="0.2">
      <c r="A15" s="2039"/>
      <c r="B15" s="2153"/>
      <c r="C15" s="785" t="str">
        <f>F!C122</f>
        <v>&lt;0.01 hectare (about 10 m on a side) and &lt;1% of the AA never has surface water.  In other words, all or nearly all of the AA is covered by water permanently or at least seasonally.</v>
      </c>
      <c r="D15" s="778">
        <f>F!D122</f>
        <v>0</v>
      </c>
      <c r="E15" s="722">
        <v>5</v>
      </c>
      <c r="F15" s="722">
        <f>D15*E15</f>
        <v>0</v>
      </c>
      <c r="G15" s="775"/>
      <c r="H15" s="1911"/>
      <c r="I15" s="1911"/>
      <c r="J15" s="80"/>
    </row>
    <row r="16" spans="1:12" s="110" customFormat="1" ht="15" customHeight="1" x14ac:dyDescent="0.2">
      <c r="A16" s="2039"/>
      <c r="B16" s="2153"/>
      <c r="C16" s="785" t="str">
        <f>F!C123</f>
        <v>1-25% of the AA never contains surface water.</v>
      </c>
      <c r="D16" s="778">
        <f>F!D123</f>
        <v>0</v>
      </c>
      <c r="E16" s="722">
        <v>4</v>
      </c>
      <c r="F16" s="722">
        <f>D16*E16</f>
        <v>0</v>
      </c>
      <c r="G16" s="775"/>
      <c r="H16" s="1911"/>
      <c r="I16" s="1911"/>
      <c r="J16" s="80"/>
    </row>
    <row r="17" spans="1:10" s="110" customFormat="1" ht="15" customHeight="1" x14ac:dyDescent="0.2">
      <c r="A17" s="2039"/>
      <c r="B17" s="2153"/>
      <c r="C17" s="785" t="str">
        <f>F!C124</f>
        <v>25-50% of the AA never contains surface water.</v>
      </c>
      <c r="D17" s="778">
        <f>F!D124</f>
        <v>0</v>
      </c>
      <c r="E17" s="722">
        <v>3</v>
      </c>
      <c r="F17" s="722">
        <f>D17*E17</f>
        <v>0</v>
      </c>
      <c r="G17" s="775"/>
      <c r="H17" s="1911"/>
      <c r="I17" s="1911"/>
      <c r="J17" s="80"/>
    </row>
    <row r="18" spans="1:10" s="110" customFormat="1" ht="15" customHeight="1" x14ac:dyDescent="0.2">
      <c r="A18" s="2039"/>
      <c r="B18" s="2153"/>
      <c r="C18" s="785" t="str">
        <f>F!C125</f>
        <v>50-99% of the AA never contains surface water.</v>
      </c>
      <c r="D18" s="778">
        <f>F!D125</f>
        <v>0</v>
      </c>
      <c r="E18" s="722">
        <v>2</v>
      </c>
      <c r="F18" s="722">
        <f>D18*E18</f>
        <v>0</v>
      </c>
      <c r="G18" s="775"/>
      <c r="H18" s="1911"/>
      <c r="I18" s="1911"/>
      <c r="J18" s="80"/>
    </row>
    <row r="19" spans="1:10" s="110" customFormat="1" ht="39" thickBot="1" x14ac:dyDescent="0.25">
      <c r="A19" s="2079"/>
      <c r="B19" s="2154"/>
      <c r="C19" s="786" t="str">
        <f>F!C126</f>
        <v>&gt;99% of the AA never contains surface water, except perhaps for water flowing in channels and/or in pools that occupy &lt;1% of the AA. SKIP to F48 (Channel Connection &amp; Outflow Duration).</v>
      </c>
      <c r="D19" s="102">
        <f>F!D126</f>
        <v>0</v>
      </c>
      <c r="E19" s="244">
        <v>1</v>
      </c>
      <c r="F19" s="244">
        <f>D19*E19</f>
        <v>0</v>
      </c>
      <c r="G19" s="258"/>
      <c r="H19" s="1978"/>
      <c r="I19" s="1911"/>
      <c r="J19" s="80"/>
    </row>
    <row r="20" spans="1:10" s="5" customFormat="1" ht="30" customHeight="1" thickBot="1" x14ac:dyDescent="0.25">
      <c r="A20" s="2098" t="str">
        <f>F!A127</f>
        <v>F23</v>
      </c>
      <c r="B20" s="2009" t="str">
        <f>F!B127</f>
        <v>% with Persistent Surface Water</v>
      </c>
      <c r="C20" s="1391" t="str">
        <f>F!C127</f>
        <v>The percentage of the AA that has surface water (either ponded or flowing, either open or obscured by vegetation) during all of the growing season during most years is:</v>
      </c>
      <c r="D20" s="736"/>
      <c r="E20" s="239"/>
      <c r="F20" s="259"/>
      <c r="G20" s="219">
        <f>IF((AllSat1&gt;0),"",MAX(F21:F26)/MAX(E21:E26))</f>
        <v>0</v>
      </c>
      <c r="H20" s="1989" t="s">
        <v>102</v>
      </c>
      <c r="I20" s="2073" t="s">
        <v>1157</v>
      </c>
      <c r="J20" s="71"/>
    </row>
    <row r="21" spans="1:10" ht="15" customHeight="1" x14ac:dyDescent="0.2">
      <c r="A21" s="2098"/>
      <c r="B21" s="2009"/>
      <c r="C21" s="407" t="str">
        <f>F!C128</f>
        <v>&lt;0.01 hectare and &lt;1% of the AA.  SKIP to F27 (% Flooded Only Seasonally).</v>
      </c>
      <c r="D21" s="40">
        <f>F!D128</f>
        <v>0</v>
      </c>
      <c r="E21" s="241">
        <v>0</v>
      </c>
      <c r="F21" s="241">
        <f>D21*E21</f>
        <v>0</v>
      </c>
      <c r="G21" s="235"/>
      <c r="H21" s="1989"/>
      <c r="I21" s="2053"/>
    </row>
    <row r="22" spans="1:10" ht="15" customHeight="1" x14ac:dyDescent="0.2">
      <c r="A22" s="2098"/>
      <c r="B22" s="2009"/>
      <c r="C22" s="328" t="str">
        <f>F!C129</f>
        <v>1-5% of the AA.</v>
      </c>
      <c r="D22" s="40">
        <f>F!D129</f>
        <v>0</v>
      </c>
      <c r="E22" s="241">
        <v>1</v>
      </c>
      <c r="F22" s="241">
        <f>D22*E22</f>
        <v>0</v>
      </c>
      <c r="G22" s="236"/>
      <c r="H22" s="1989"/>
      <c r="I22" s="2053"/>
    </row>
    <row r="23" spans="1:10" ht="15" customHeight="1" x14ac:dyDescent="0.2">
      <c r="A23" s="2098"/>
      <c r="B23" s="2009"/>
      <c r="C23" s="328" t="str">
        <f>F!C130</f>
        <v>5-25% of the AA.</v>
      </c>
      <c r="D23" s="40">
        <f>F!D130</f>
        <v>0</v>
      </c>
      <c r="E23" s="241">
        <v>2</v>
      </c>
      <c r="F23" s="241">
        <f>D23*E23</f>
        <v>0</v>
      </c>
      <c r="G23" s="236"/>
      <c r="H23" s="1989"/>
      <c r="I23" s="2053"/>
    </row>
    <row r="24" spans="1:10" ht="15" customHeight="1" x14ac:dyDescent="0.2">
      <c r="A24" s="2098"/>
      <c r="B24" s="2009"/>
      <c r="C24" s="328" t="str">
        <f>F!C131</f>
        <v>25-50% of the AA.</v>
      </c>
      <c r="D24" s="40">
        <f>F!D131</f>
        <v>0</v>
      </c>
      <c r="E24" s="241">
        <v>3</v>
      </c>
      <c r="F24" s="241">
        <f>D24*E24</f>
        <v>0</v>
      </c>
      <c r="G24" s="236"/>
      <c r="H24" s="1989"/>
      <c r="I24" s="2053"/>
    </row>
    <row r="25" spans="1:10" ht="15" customHeight="1" x14ac:dyDescent="0.2">
      <c r="A25" s="2098"/>
      <c r="B25" s="2009"/>
      <c r="C25" s="328" t="str">
        <f>F!C132</f>
        <v>50-95% of the AA.</v>
      </c>
      <c r="D25" s="40">
        <f>F!D132</f>
        <v>0</v>
      </c>
      <c r="E25" s="241">
        <v>4</v>
      </c>
      <c r="F25" s="241">
        <f>D25*E25</f>
        <v>0</v>
      </c>
      <c r="G25" s="236"/>
      <c r="H25" s="1989"/>
      <c r="I25" s="2053"/>
    </row>
    <row r="26" spans="1:10" ht="15" customHeight="1" thickBot="1" x14ac:dyDescent="0.25">
      <c r="A26" s="2098"/>
      <c r="B26" s="2009"/>
      <c r="C26" s="366" t="str">
        <f>F!C133</f>
        <v>&gt;95% of the AA.</v>
      </c>
      <c r="D26" s="356">
        <f>F!D133</f>
        <v>0</v>
      </c>
      <c r="E26" s="384">
        <v>5</v>
      </c>
      <c r="F26" s="380">
        <f>NoPermW10*E26</f>
        <v>0</v>
      </c>
      <c r="G26" s="367"/>
      <c r="H26" s="1990"/>
      <c r="I26" s="2074"/>
    </row>
    <row r="27" spans="1:10" ht="30" customHeight="1" thickBot="1" x14ac:dyDescent="0.25">
      <c r="A27" s="2036" t="str">
        <f>F!A134</f>
        <v>F24</v>
      </c>
      <c r="B27" s="2137" t="str">
        <f>F!B134</f>
        <v>% of Summertime Water That Is Shaded</v>
      </c>
      <c r="C27" s="104" t="str">
        <f>F!C134</f>
        <v>At mid-day during the warmest time of year, the area of surface water within the AA that is shaded by vegetation and other features that are within the AA at that time is:</v>
      </c>
      <c r="D27" s="372"/>
      <c r="E27" s="372"/>
      <c r="F27" s="376"/>
      <c r="G27" s="232">
        <f>IF((AllSat1&gt;0),"", IF((NoPersis=1),"", MAX(F28:F32)/MAX(E28:E32)))</f>
        <v>0</v>
      </c>
      <c r="H27" s="2158" t="s">
        <v>556</v>
      </c>
      <c r="I27" s="1867" t="s">
        <v>1158</v>
      </c>
    </row>
    <row r="28" spans="1:10" ht="15" customHeight="1" x14ac:dyDescent="0.2">
      <c r="A28" s="2035"/>
      <c r="B28" s="2138"/>
      <c r="C28" s="407" t="str">
        <f>F!C135</f>
        <v>&lt;5% of the water is shaded, or no surface water is present then.</v>
      </c>
      <c r="D28" s="359">
        <f>F!D135</f>
        <v>0</v>
      </c>
      <c r="E28" s="377">
        <v>0</v>
      </c>
      <c r="F28" s="377">
        <f>D28*E28</f>
        <v>0</v>
      </c>
      <c r="G28" s="236"/>
      <c r="H28" s="2159"/>
      <c r="I28" s="1911"/>
    </row>
    <row r="29" spans="1:10" ht="15" customHeight="1" x14ac:dyDescent="0.2">
      <c r="A29" s="2035"/>
      <c r="B29" s="2138"/>
      <c r="C29" s="328" t="str">
        <f>F!C136</f>
        <v>5-25% of the water is shaded.</v>
      </c>
      <c r="D29" s="359">
        <f>F!D136</f>
        <v>0</v>
      </c>
      <c r="E29" s="377">
        <v>1</v>
      </c>
      <c r="F29" s="377">
        <f>D29*E29</f>
        <v>0</v>
      </c>
      <c r="G29" s="236"/>
      <c r="H29" s="2159"/>
      <c r="I29" s="1911"/>
    </row>
    <row r="30" spans="1:10" ht="15" customHeight="1" x14ac:dyDescent="0.2">
      <c r="A30" s="2035"/>
      <c r="B30" s="2138"/>
      <c r="C30" s="328" t="str">
        <f>F!C137</f>
        <v>25-50% of the water is shaded.</v>
      </c>
      <c r="D30" s="359">
        <f>F!D137</f>
        <v>0</v>
      </c>
      <c r="E30" s="377">
        <v>2</v>
      </c>
      <c r="F30" s="377">
        <f>D30*E30</f>
        <v>0</v>
      </c>
      <c r="G30" s="236"/>
      <c r="H30" s="2159"/>
      <c r="I30" s="1911"/>
    </row>
    <row r="31" spans="1:10" ht="15" customHeight="1" x14ac:dyDescent="0.2">
      <c r="A31" s="2035"/>
      <c r="B31" s="2138"/>
      <c r="C31" s="328" t="str">
        <f>F!C138</f>
        <v>50-75% of the water is shaded.</v>
      </c>
      <c r="D31" s="359">
        <f>F!D138</f>
        <v>0</v>
      </c>
      <c r="E31" s="377">
        <v>4</v>
      </c>
      <c r="F31" s="377">
        <f>D31*E31</f>
        <v>0</v>
      </c>
      <c r="G31" s="236"/>
      <c r="H31" s="2159"/>
      <c r="I31" s="1911"/>
    </row>
    <row r="32" spans="1:10" ht="15" customHeight="1" thickBot="1" x14ac:dyDescent="0.25">
      <c r="A32" s="2037"/>
      <c r="B32" s="2139"/>
      <c r="C32" s="329" t="str">
        <f>F!C139</f>
        <v>&gt;75% of the water is shaded.</v>
      </c>
      <c r="D32" s="81">
        <f>F!D139</f>
        <v>0</v>
      </c>
      <c r="E32" s="244">
        <v>3</v>
      </c>
      <c r="F32" s="244">
        <f>D32*E32</f>
        <v>0</v>
      </c>
      <c r="G32" s="237"/>
      <c r="H32" s="2160"/>
      <c r="I32" s="1978"/>
    </row>
    <row r="33" spans="1:10" ht="78.75" customHeight="1" thickBot="1" x14ac:dyDescent="0.25">
      <c r="A33" s="1386" t="str">
        <f>F!A140</f>
        <v>F25</v>
      </c>
      <c r="B33" s="1374" t="str">
        <f>F!B140</f>
        <v>Fringe Wetland</v>
      </c>
      <c r="C33" s="406" t="str">
        <f>F!C140</f>
        <v>Open water that adjoins the vegetated wetland in a lake, stream, or river during annual low water condition is much wider than the vegetated wetland. Enter "1" if true, "0" if false.</v>
      </c>
      <c r="D33" s="442">
        <f>F!D140</f>
        <v>0</v>
      </c>
      <c r="E33" s="271"/>
      <c r="F33" s="279"/>
      <c r="G33" s="289" t="str">
        <f>IF((AllSat1&gt;0),"", IF((NoPersis=1),"", IF((D33=0),"",1)))</f>
        <v/>
      </c>
      <c r="H33" s="1427" t="s">
        <v>647</v>
      </c>
      <c r="I33" s="1362" t="s">
        <v>1006</v>
      </c>
    </row>
    <row r="34" spans="1:10" s="110" customFormat="1" ht="78" customHeight="1" thickBot="1" x14ac:dyDescent="0.25">
      <c r="A34" s="310" t="str">
        <f>F!A141</f>
        <v>F26</v>
      </c>
      <c r="B34" s="465" t="str">
        <f>F!B141</f>
        <v>Lacustrine Wetland</v>
      </c>
      <c r="C34" s="311" t="str">
        <f>F!C141</f>
        <v>The AA borders a body of ponded open water whose size -- not counting the vegetated AA -- exceeds 8 hectares (about 300 x 300 m) during most of the growing season.  Enter "1" if true, "0" if false.</v>
      </c>
      <c r="D34" s="116">
        <f>F!D141</f>
        <v>0</v>
      </c>
      <c r="E34" s="278"/>
      <c r="F34" s="270"/>
      <c r="G34" s="273" t="str">
        <f>IF((AllSat1&gt;0),"", IF((NoPersis=1),"", IF((D34=0),"",1)))</f>
        <v/>
      </c>
      <c r="H34" s="43" t="s">
        <v>113</v>
      </c>
      <c r="I34" s="794" t="s">
        <v>1159</v>
      </c>
      <c r="J34" s="80"/>
    </row>
    <row r="35" spans="1:10" ht="51.75" thickBot="1" x14ac:dyDescent="0.25">
      <c r="A35" s="2052" t="str">
        <f>F!A155</f>
        <v>F29</v>
      </c>
      <c r="B35" s="2009" t="str">
        <f>F!B155</f>
        <v>Predominant Depth Class</v>
      </c>
      <c r="C35" s="1391" t="str">
        <f>F!C155</f>
        <v>During most of the time when water is present, its depth in most of the area is: [Note: This is not asking for the maximum depth]. If a ponded body of open water that adjoins the AA is larger than 8 ha, include its waters in this estimate, but only those waters within a distance from the AA that is equal to the vegetated AA's width]</v>
      </c>
      <c r="D35" s="437"/>
      <c r="E35" s="239"/>
      <c r="F35" s="240"/>
      <c r="G35" s="231">
        <f xml:space="preserve"> IF((AllSat1&gt;0),"", IF((SmallAA=1),"", MAX(F36:F40)/MAX(E36:E40)))</f>
        <v>0</v>
      </c>
      <c r="H35" s="2158" t="s">
        <v>105</v>
      </c>
      <c r="I35" s="2073" t="s">
        <v>1160</v>
      </c>
    </row>
    <row r="36" spans="1:10" ht="15" customHeight="1" x14ac:dyDescent="0.2">
      <c r="A36" s="2052"/>
      <c r="B36" s="2009"/>
      <c r="C36" s="407" t="str">
        <f>F!C156</f>
        <v>&lt;10 cm deep (but &gt;0).</v>
      </c>
      <c r="D36" s="40">
        <f>F!D156</f>
        <v>0</v>
      </c>
      <c r="E36" s="241">
        <v>0</v>
      </c>
      <c r="F36" s="241">
        <f t="shared" ref="F36:F44" si="0">D36*E36</f>
        <v>0</v>
      </c>
      <c r="G36" s="235"/>
      <c r="H36" s="2159"/>
      <c r="I36" s="2053"/>
    </row>
    <row r="37" spans="1:10" ht="15" customHeight="1" x14ac:dyDescent="0.2">
      <c r="A37" s="2052"/>
      <c r="B37" s="2009"/>
      <c r="C37" s="328" t="str">
        <f>F!C157</f>
        <v>10 - 50 cm deep.</v>
      </c>
      <c r="D37" s="40">
        <f>F!D157</f>
        <v>0</v>
      </c>
      <c r="E37" s="241">
        <v>1</v>
      </c>
      <c r="F37" s="241">
        <f t="shared" si="0"/>
        <v>0</v>
      </c>
      <c r="G37" s="236"/>
      <c r="H37" s="2159"/>
      <c r="I37" s="2053"/>
    </row>
    <row r="38" spans="1:10" ht="15" customHeight="1" x14ac:dyDescent="0.2">
      <c r="A38" s="2052"/>
      <c r="B38" s="2009"/>
      <c r="C38" s="328" t="str">
        <f>F!C158</f>
        <v>0.5 - 1 m deep.</v>
      </c>
      <c r="D38" s="40">
        <f>F!D158</f>
        <v>0</v>
      </c>
      <c r="E38" s="241">
        <v>2</v>
      </c>
      <c r="F38" s="241">
        <f t="shared" si="0"/>
        <v>0</v>
      </c>
      <c r="G38" s="236"/>
      <c r="H38" s="2159"/>
      <c r="I38" s="2053"/>
    </row>
    <row r="39" spans="1:10" ht="15" customHeight="1" x14ac:dyDescent="0.2">
      <c r="A39" s="2052"/>
      <c r="B39" s="2009"/>
      <c r="C39" s="328" t="str">
        <f>F!C159</f>
        <v>1 - 2 m deep.</v>
      </c>
      <c r="D39" s="40">
        <f>F!D159</f>
        <v>0</v>
      </c>
      <c r="E39" s="241">
        <v>3</v>
      </c>
      <c r="F39" s="241">
        <f t="shared" si="0"/>
        <v>0</v>
      </c>
      <c r="G39" s="236"/>
      <c r="H39" s="2159"/>
      <c r="I39" s="2053"/>
    </row>
    <row r="40" spans="1:10" ht="15" customHeight="1" thickBot="1" x14ac:dyDescent="0.25">
      <c r="A40" s="2052"/>
      <c r="B40" s="2009"/>
      <c r="C40" s="366" t="str">
        <f>F!C160</f>
        <v>&gt;2 m deep.  True for many fringe wetlands.</v>
      </c>
      <c r="D40" s="356">
        <f>F!D160</f>
        <v>0</v>
      </c>
      <c r="E40" s="380">
        <v>4</v>
      </c>
      <c r="F40" s="380">
        <f t="shared" si="0"/>
        <v>0</v>
      </c>
      <c r="G40" s="367"/>
      <c r="H40" s="2160"/>
      <c r="I40" s="2074"/>
    </row>
    <row r="41" spans="1:10" ht="30.6" customHeight="1" thickBot="1" x14ac:dyDescent="0.25">
      <c r="A41" s="2097" t="str">
        <f>F!A161</f>
        <v>F30</v>
      </c>
      <c r="B41" s="2008" t="str">
        <f>F!B161</f>
        <v>Depth Classes - Evenness of Proportions</v>
      </c>
      <c r="C41" s="104" t="str">
        <f>F!C161</f>
        <v>Within the area described above, and during most of the time when surface water is present, it usually is comprised of: (select one):</v>
      </c>
      <c r="D41" s="472"/>
      <c r="E41" s="376"/>
      <c r="F41" s="262"/>
      <c r="G41" s="232">
        <f>IF((AllSat1&gt;0),"", IF((SmallAA=1),"", MAX(F42:F44)/MAX(E42:E44)))</f>
        <v>0</v>
      </c>
      <c r="H41" s="2158" t="s">
        <v>106</v>
      </c>
      <c r="I41" s="2073" t="s">
        <v>1755</v>
      </c>
    </row>
    <row r="42" spans="1:10" ht="27" customHeight="1" x14ac:dyDescent="0.2">
      <c r="A42" s="2098"/>
      <c r="B42" s="2009"/>
      <c r="C42" s="407" t="str">
        <f>F!C162</f>
        <v>One depth class covering &gt;90% of the AA’s inundated area (use the classes in the question above).</v>
      </c>
      <c r="D42" s="359">
        <f>F!D162</f>
        <v>0</v>
      </c>
      <c r="E42" s="377">
        <v>0</v>
      </c>
      <c r="F42" s="377">
        <f t="shared" si="0"/>
        <v>0</v>
      </c>
      <c r="G42" s="235"/>
      <c r="H42" s="2159"/>
      <c r="I42" s="2053"/>
    </row>
    <row r="43" spans="1:10" ht="15" customHeight="1" x14ac:dyDescent="0.2">
      <c r="A43" s="2098"/>
      <c r="B43" s="2009"/>
      <c r="C43" s="328" t="str">
        <f>F!C163</f>
        <v>One depth class covering 51-90% of the AA's inundated area.</v>
      </c>
      <c r="D43" s="359">
        <f>F!D163</f>
        <v>0</v>
      </c>
      <c r="E43" s="377">
        <v>1</v>
      </c>
      <c r="F43" s="377">
        <f t="shared" si="0"/>
        <v>0</v>
      </c>
      <c r="G43" s="236"/>
      <c r="H43" s="2159"/>
      <c r="I43" s="2053"/>
    </row>
    <row r="44" spans="1:10" ht="15" customHeight="1" thickBot="1" x14ac:dyDescent="0.25">
      <c r="A44" s="2099"/>
      <c r="B44" s="2010"/>
      <c r="C44" s="329" t="str">
        <f>F!C164</f>
        <v>Multiple depth classes and none occupy more than 50% of the AA.</v>
      </c>
      <c r="D44" s="81">
        <f>F!D164</f>
        <v>0</v>
      </c>
      <c r="E44" s="244">
        <v>2</v>
      </c>
      <c r="F44" s="244">
        <f t="shared" si="0"/>
        <v>0</v>
      </c>
      <c r="G44" s="237"/>
      <c r="H44" s="2160"/>
      <c r="I44" s="2074"/>
    </row>
    <row r="45" spans="1:10" ht="45" customHeight="1" thickBot="1" x14ac:dyDescent="0.25">
      <c r="A45" s="2167" t="str">
        <f>F!A165</f>
        <v>F31</v>
      </c>
      <c r="B45" s="2008" t="str">
        <f>F!B165</f>
        <v xml:space="preserve">% of Water Ponded vs. Flowing </v>
      </c>
      <c r="C45" s="104" t="str">
        <f>F!C165</f>
        <v>The percentage of the AA's surface water that is ponded (stagnant, or flows so slowly that fine sediment is not held in suspension) during most of the time it is present during the growing season, and which is either open or shaded by emergent vegetation, is:</v>
      </c>
      <c r="D45" s="372"/>
      <c r="E45" s="376"/>
      <c r="F45" s="262"/>
      <c r="G45" s="225">
        <f xml:space="preserve"> IF((AllSat1&gt;0),"", IF((SmallAA=1),"", MAX(F46:F51)/MAX(E46:E51)))</f>
        <v>0</v>
      </c>
      <c r="H45" s="2158" t="s">
        <v>104</v>
      </c>
      <c r="I45" s="2073" t="s">
        <v>1162</v>
      </c>
    </row>
    <row r="46" spans="1:10" ht="27" customHeight="1" x14ac:dyDescent="0.2">
      <c r="A46" s="2098"/>
      <c r="B46" s="2009"/>
      <c r="C46" s="407" t="str">
        <f>F!C166</f>
        <v>None, or &lt;0.01 hectare and &lt;1% of the AA. Nearly all water is flowing.  Enter "1" and SKIP to F43 (pH measurement).</v>
      </c>
      <c r="D46" s="359">
        <f>F!D166</f>
        <v>0</v>
      </c>
      <c r="E46" s="377">
        <v>1</v>
      </c>
      <c r="F46" s="377">
        <f t="shared" ref="F46:F51" si="1">D46*E46</f>
        <v>0</v>
      </c>
      <c r="G46" s="236"/>
      <c r="H46" s="2159"/>
      <c r="I46" s="2053"/>
    </row>
    <row r="47" spans="1:10" ht="15" customHeight="1" x14ac:dyDescent="0.2">
      <c r="A47" s="2098"/>
      <c r="B47" s="2009"/>
      <c r="C47" s="328" t="str">
        <f>F!C167</f>
        <v>1-5% of the water.  The rest is flowing.</v>
      </c>
      <c r="D47" s="359">
        <f>F!D167</f>
        <v>0</v>
      </c>
      <c r="E47" s="377">
        <v>2</v>
      </c>
      <c r="F47" s="377">
        <f t="shared" si="1"/>
        <v>0</v>
      </c>
      <c r="G47" s="236"/>
      <c r="H47" s="2159"/>
      <c r="I47" s="2053"/>
    </row>
    <row r="48" spans="1:10" ht="15" customHeight="1" x14ac:dyDescent="0.2">
      <c r="A48" s="2098"/>
      <c r="B48" s="2009"/>
      <c r="C48" s="328" t="str">
        <f>F!C168</f>
        <v>5-30% of the water.</v>
      </c>
      <c r="D48" s="359">
        <f>F!D168</f>
        <v>0</v>
      </c>
      <c r="E48" s="377">
        <v>3</v>
      </c>
      <c r="F48" s="377">
        <f t="shared" si="1"/>
        <v>0</v>
      </c>
      <c r="G48" s="236"/>
      <c r="H48" s="2159"/>
      <c r="I48" s="2053"/>
    </row>
    <row r="49" spans="1:9" ht="15" customHeight="1" x14ac:dyDescent="0.2">
      <c r="A49" s="2098"/>
      <c r="B49" s="2009"/>
      <c r="C49" s="328" t="str">
        <f>F!C169</f>
        <v>30-70% of the water.</v>
      </c>
      <c r="D49" s="359">
        <f>F!D169</f>
        <v>0</v>
      </c>
      <c r="E49" s="377">
        <v>4</v>
      </c>
      <c r="F49" s="377">
        <f t="shared" si="1"/>
        <v>0</v>
      </c>
      <c r="G49" s="236"/>
      <c r="H49" s="2159"/>
      <c r="I49" s="2053"/>
    </row>
    <row r="50" spans="1:9" ht="15" customHeight="1" x14ac:dyDescent="0.2">
      <c r="A50" s="2098"/>
      <c r="B50" s="2009"/>
      <c r="C50" s="328" t="str">
        <f>F!C170</f>
        <v>70-99% of the water.</v>
      </c>
      <c r="D50" s="359">
        <f>F!D170</f>
        <v>0</v>
      </c>
      <c r="E50" s="377">
        <v>5</v>
      </c>
      <c r="F50" s="377">
        <f t="shared" si="1"/>
        <v>0</v>
      </c>
      <c r="G50" s="236"/>
      <c r="H50" s="2159"/>
      <c r="I50" s="2053"/>
    </row>
    <row r="51" spans="1:9" ht="15" customHeight="1" thickBot="1" x14ac:dyDescent="0.25">
      <c r="A51" s="2098"/>
      <c r="B51" s="2009"/>
      <c r="C51" s="328" t="str">
        <f>F!C171</f>
        <v>&gt;99% of the water.  Little or no visibly flowing water within the AA.</v>
      </c>
      <c r="D51" s="359">
        <f>F!D171</f>
        <v>0</v>
      </c>
      <c r="E51" s="377">
        <v>6</v>
      </c>
      <c r="F51" s="377">
        <f t="shared" si="1"/>
        <v>0</v>
      </c>
      <c r="G51" s="236"/>
      <c r="H51" s="2159"/>
      <c r="I51" s="2053"/>
    </row>
    <row r="52" spans="1:9" ht="39" thickBot="1" x14ac:dyDescent="0.25">
      <c r="A52" s="1979" t="str">
        <f>F!A173</f>
        <v>F33</v>
      </c>
      <c r="B52" s="2008" t="str">
        <f>F!B173</f>
        <v xml:space="preserve">% of Ponded Water That Is Open </v>
      </c>
      <c r="C52" s="352" t="str">
        <f>F!C173</f>
        <v>In ducks-eye aerial view, the percentage of the ponded water that is open (lacking emergent vegetation during most of the growing season, and unhidden by a forest or shrub canopy) is:</v>
      </c>
      <c r="D52" s="581"/>
      <c r="E52" s="376"/>
      <c r="F52" s="234"/>
      <c r="G52" s="232">
        <f>IF((AllSat1&gt;0),"", IF((NoPonded=1),"", IF((SmallAA=1),"", MAX(F53:F57)/MAX(E53:E57))))</f>
        <v>0</v>
      </c>
      <c r="H52" s="2158" t="s">
        <v>798</v>
      </c>
      <c r="I52" s="2073" t="s">
        <v>1007</v>
      </c>
    </row>
    <row r="53" spans="1:9" ht="27" customHeight="1" x14ac:dyDescent="0.2">
      <c r="A53" s="1980"/>
      <c r="B53" s="2009"/>
      <c r="C53" s="338" t="str">
        <f>F!C174</f>
        <v>None, or &lt;1% of the AA and largest pool occupies &lt;0.01 hectares.  Enter "1" and SKIP to F41 (Floating Algae &amp; Duckweed).</v>
      </c>
      <c r="D53" s="370">
        <f>F!D174</f>
        <v>0</v>
      </c>
      <c r="E53" s="377">
        <v>0</v>
      </c>
      <c r="F53" s="377">
        <f>D53*E53</f>
        <v>0</v>
      </c>
      <c r="G53" s="235"/>
      <c r="H53" s="2159"/>
      <c r="I53" s="2053"/>
    </row>
    <row r="54" spans="1:9" ht="15" customHeight="1" x14ac:dyDescent="0.2">
      <c r="A54" s="1980"/>
      <c r="B54" s="2009"/>
      <c r="C54" s="533" t="str">
        <f>F!C175</f>
        <v>1-5% of the ponded water.  Enter "1" and SKIP to F41.</v>
      </c>
      <c r="D54" s="370">
        <f>F!D175</f>
        <v>0</v>
      </c>
      <c r="E54" s="377">
        <v>2</v>
      </c>
      <c r="F54" s="377">
        <f>D54*E54</f>
        <v>0</v>
      </c>
      <c r="G54" s="236"/>
      <c r="H54" s="2159"/>
      <c r="I54" s="2053"/>
    </row>
    <row r="55" spans="1:9" ht="15" customHeight="1" x14ac:dyDescent="0.2">
      <c r="A55" s="1980"/>
      <c r="B55" s="2009"/>
      <c r="C55" s="533" t="str">
        <f>F!C176</f>
        <v>5-30% of the ponded water.</v>
      </c>
      <c r="D55" s="370">
        <f>F!D176</f>
        <v>0</v>
      </c>
      <c r="E55" s="377">
        <v>3</v>
      </c>
      <c r="F55" s="377">
        <f>D55*E55</f>
        <v>0</v>
      </c>
      <c r="G55" s="236"/>
      <c r="H55" s="2159"/>
      <c r="I55" s="2053"/>
    </row>
    <row r="56" spans="1:9" ht="15" customHeight="1" x14ac:dyDescent="0.2">
      <c r="A56" s="1980"/>
      <c r="B56" s="2009"/>
      <c r="C56" s="533" t="str">
        <f>F!C177</f>
        <v>30-70% of the ponded water.</v>
      </c>
      <c r="D56" s="370">
        <f>F!D177</f>
        <v>0</v>
      </c>
      <c r="E56" s="377">
        <v>2</v>
      </c>
      <c r="F56" s="377">
        <f>D56*E56</f>
        <v>0</v>
      </c>
      <c r="G56" s="236"/>
      <c r="H56" s="2159"/>
      <c r="I56" s="2053"/>
    </row>
    <row r="57" spans="1:9" ht="15" customHeight="1" x14ac:dyDescent="0.2">
      <c r="A57" s="1980"/>
      <c r="B57" s="2009"/>
      <c r="C57" s="533" t="str">
        <f>F!C178</f>
        <v>70-99% of the ponded water.</v>
      </c>
      <c r="D57" s="370">
        <f>F!D178</f>
        <v>0</v>
      </c>
      <c r="E57" s="377">
        <v>0</v>
      </c>
      <c r="F57" s="377">
        <f>D57*E57</f>
        <v>0</v>
      </c>
      <c r="G57" s="236"/>
      <c r="H57" s="2159"/>
      <c r="I57" s="2053"/>
    </row>
    <row r="58" spans="1:9" ht="15" customHeight="1" thickBot="1" x14ac:dyDescent="0.25">
      <c r="A58" s="2021"/>
      <c r="B58" s="2010"/>
      <c r="C58" s="445" t="str">
        <f>F!C179</f>
        <v xml:space="preserve">100% of the ponded water. </v>
      </c>
      <c r="D58" s="94">
        <f>F!D179</f>
        <v>0</v>
      </c>
      <c r="E58" s="244"/>
      <c r="F58" s="244"/>
      <c r="G58" s="237"/>
      <c r="H58" s="2160"/>
      <c r="I58" s="2074"/>
    </row>
    <row r="59" spans="1:9" ht="30" customHeight="1" thickBot="1" x14ac:dyDescent="0.25">
      <c r="A59" s="1992" t="str">
        <f>F!A199</f>
        <v>F37</v>
      </c>
      <c r="B59" s="2008" t="str">
        <f>F!B199</f>
        <v>Interspersion of Robust Emergents &amp; Open Water</v>
      </c>
      <c r="C59" s="90" t="str">
        <f>F!C199</f>
        <v>During most of the part of the growing season when water is present, the spatial pattern of robust herbaceous vegetation (e.g., cattail, tall bulrush, buckbean) is mostly:</v>
      </c>
      <c r="D59" s="372"/>
      <c r="E59" s="376"/>
      <c r="F59" s="234"/>
      <c r="G59" s="232">
        <f>IF((AllSat1&gt;0),"", IF((NoPonded=1),"",IF((NoOpenPonded+NoOpenPonded1&gt;0),"",IF((AllOpenPond=1),"", IF((SmallAA=1),"", MAX(F60:F62)/MAX(E60:E62))))))</f>
        <v>0</v>
      </c>
      <c r="H59" s="2158" t="s">
        <v>107</v>
      </c>
      <c r="I59" s="1867" t="s">
        <v>1163</v>
      </c>
    </row>
    <row r="60" spans="1:9" ht="27" customHeight="1" x14ac:dyDescent="0.2">
      <c r="A60" s="1991"/>
      <c r="B60" s="2009"/>
      <c r="C60" s="426" t="str">
        <f>F!C200</f>
        <v>Scattered.  More than 30% of such vegetation forms small islands or corridors surrounded by water.</v>
      </c>
      <c r="D60" s="789">
        <f>F!D200</f>
        <v>0</v>
      </c>
      <c r="E60" s="239">
        <v>3</v>
      </c>
      <c r="F60" s="377">
        <f>D60*E60</f>
        <v>0</v>
      </c>
      <c r="G60" s="202"/>
      <c r="H60" s="2159"/>
      <c r="I60" s="1911"/>
    </row>
    <row r="61" spans="1:9" ht="15" customHeight="1" x14ac:dyDescent="0.2">
      <c r="A61" s="1991"/>
      <c r="B61" s="2009"/>
      <c r="C61" s="426" t="str">
        <f>F!C201</f>
        <v>Intermediate.</v>
      </c>
      <c r="D61" s="789">
        <f>F!D201</f>
        <v>0</v>
      </c>
      <c r="E61" s="239">
        <v>2</v>
      </c>
      <c r="F61" s="377">
        <f>D61*E61</f>
        <v>0</v>
      </c>
      <c r="G61" s="202"/>
      <c r="H61" s="2159"/>
      <c r="I61" s="1911"/>
    </row>
    <row r="62" spans="1:9" ht="27" customHeight="1" thickBot="1" x14ac:dyDescent="0.25">
      <c r="A62" s="1991"/>
      <c r="B62" s="2009"/>
      <c r="C62" s="360" t="str">
        <f>F!C202</f>
        <v>Clumped. More than 70% of such vegetation is in bands along the wetland perimeter or is clumped at one or a few sides of the surface water area.</v>
      </c>
      <c r="D62" s="932">
        <f>F!D202</f>
        <v>0</v>
      </c>
      <c r="E62" s="271">
        <v>1</v>
      </c>
      <c r="F62" s="380">
        <f>D62*E62</f>
        <v>0</v>
      </c>
      <c r="G62" s="267"/>
      <c r="H62" s="2159"/>
      <c r="I62" s="1911"/>
    </row>
    <row r="63" spans="1:9" ht="45" customHeight="1" thickBot="1" x14ac:dyDescent="0.25">
      <c r="A63" s="2097" t="str">
        <f>F!A204</f>
        <v>F39</v>
      </c>
      <c r="B63" s="2008" t="str">
        <f>F!B204</f>
        <v>Non-vegetated Aquatic Cover</v>
      </c>
      <c r="C63" s="104" t="str">
        <f>F!C204</f>
        <v>During most of the growing season and in waters deeper than 0.5 m, the cover for fish, aquatic invertebrates, and/or amphibians that is provided NOT by living vegetation, but by accumulations of dead wood and undercut banks is:</v>
      </c>
      <c r="D63" s="777"/>
      <c r="E63" s="376"/>
      <c r="F63" s="234"/>
      <c r="G63" s="232" t="str">
        <f>IF((OpenW=0),"", IF((SmallAA=1),"", MAX(F64:F66)/MAX(E64:E66)))</f>
        <v/>
      </c>
      <c r="H63" s="2158" t="s">
        <v>103</v>
      </c>
      <c r="I63" s="2073" t="s">
        <v>1161</v>
      </c>
    </row>
    <row r="64" spans="1:9" ht="15" customHeight="1" x14ac:dyDescent="0.2">
      <c r="A64" s="2098"/>
      <c r="B64" s="2009"/>
      <c r="C64" s="995" t="str">
        <f>F!C205</f>
        <v>Little or none</v>
      </c>
      <c r="D64" s="737">
        <f>F!D205</f>
        <v>0</v>
      </c>
      <c r="E64" s="722">
        <v>0</v>
      </c>
      <c r="F64" s="722">
        <f>D64*E64</f>
        <v>0</v>
      </c>
      <c r="G64" s="235"/>
      <c r="H64" s="2159"/>
      <c r="I64" s="2053"/>
    </row>
    <row r="65" spans="1:10" ht="15" customHeight="1" x14ac:dyDescent="0.2">
      <c r="A65" s="2098"/>
      <c r="B65" s="2009"/>
      <c r="C65" s="996" t="str">
        <f>F!C206</f>
        <v>Intermediate</v>
      </c>
      <c r="D65" s="737">
        <f>F!D206</f>
        <v>0</v>
      </c>
      <c r="E65" s="722">
        <v>1</v>
      </c>
      <c r="F65" s="722">
        <f>D65*E65</f>
        <v>0</v>
      </c>
      <c r="G65" s="275"/>
      <c r="H65" s="2159"/>
      <c r="I65" s="2053"/>
    </row>
    <row r="66" spans="1:10" ht="15" customHeight="1" thickBot="1" x14ac:dyDescent="0.25">
      <c r="A66" s="2099"/>
      <c r="B66" s="2010"/>
      <c r="C66" s="329" t="str">
        <f>F!C207</f>
        <v>Extensive</v>
      </c>
      <c r="D66" s="81">
        <f>F!D207</f>
        <v>0</v>
      </c>
      <c r="E66" s="244">
        <v>2</v>
      </c>
      <c r="F66" s="244">
        <f>D66*E66</f>
        <v>0</v>
      </c>
      <c r="G66" s="237"/>
      <c r="H66" s="2160"/>
      <c r="I66" s="2074"/>
    </row>
    <row r="67" spans="1:10" ht="45" customHeight="1" thickBot="1" x14ac:dyDescent="0.25">
      <c r="A67" s="57" t="str">
        <f>F!A210</f>
        <v>F42</v>
      </c>
      <c r="B67" s="839" t="str">
        <f>F!B210</f>
        <v>Fish</v>
      </c>
      <c r="C67" s="1048" t="str">
        <f>F!C210</f>
        <v>Fish from connected waters can access at least part of the AA during one or more days annually, or are otherwise known to be present in the AA at least temporarily. If true, enter "1" in next column.  If untrue or unlikely, enter "0".</v>
      </c>
      <c r="D67" s="1049">
        <f>F!D210</f>
        <v>0</v>
      </c>
      <c r="E67" s="1050"/>
      <c r="F67" s="798"/>
      <c r="G67" s="855">
        <f>D67</f>
        <v>0</v>
      </c>
      <c r="H67" s="923" t="s">
        <v>501</v>
      </c>
      <c r="I67" s="791" t="s">
        <v>1164</v>
      </c>
    </row>
    <row r="68" spans="1:10" ht="40.15" customHeight="1" thickBot="1" x14ac:dyDescent="0.25">
      <c r="A68" s="2008" t="str">
        <f>F!A211</f>
        <v>F43</v>
      </c>
      <c r="B68" s="2008" t="str">
        <f>F!B211</f>
        <v>pH Measurement</v>
      </c>
      <c r="C68" s="839" t="str">
        <f>F!C211</f>
        <v>The pH in most of the AA's surface water:</v>
      </c>
      <c r="D68" s="777"/>
      <c r="E68" s="376"/>
      <c r="F68" s="262"/>
      <c r="G68" s="876">
        <f>IF((AllSat1&gt;0),"",IF((SmallAA=1),"", IF((D69=1),"", IF((D72&lt;4),0,IF((D72&gt;5&lt;9),1,0.5)))))</f>
        <v>0</v>
      </c>
      <c r="H68" s="2171" t="s">
        <v>126</v>
      </c>
      <c r="I68" s="1867" t="s">
        <v>2020</v>
      </c>
    </row>
    <row r="69" spans="1:10" ht="30" customHeight="1" x14ac:dyDescent="0.2">
      <c r="A69" s="2009"/>
      <c r="B69" s="2009"/>
      <c r="C69" s="1036" t="str">
        <f>F!C212</f>
        <v>was not measured because no surface water could be found during this visit. Enter "1" in column to the right.</v>
      </c>
      <c r="D69" s="788">
        <f>F!D212</f>
        <v>0</v>
      </c>
      <c r="E69" s="722"/>
      <c r="F69" s="377"/>
      <c r="G69" s="239"/>
      <c r="H69" s="2172"/>
      <c r="I69" s="1911"/>
    </row>
    <row r="70" spans="1:10" ht="24" customHeight="1" x14ac:dyDescent="0.2">
      <c r="A70" s="2009"/>
      <c r="B70" s="2009"/>
      <c r="C70" s="1036" t="str">
        <f>F!C213</f>
        <v>was not measured, and surface water is tea-colored. Enter "1" in column to the right.</v>
      </c>
      <c r="D70" s="788">
        <f>F!D213</f>
        <v>0</v>
      </c>
      <c r="E70" s="722"/>
      <c r="F70" s="377"/>
      <c r="G70" s="722"/>
      <c r="H70" s="2172"/>
      <c r="I70" s="1911"/>
    </row>
    <row r="71" spans="1:10" ht="24" customHeight="1" x14ac:dyDescent="0.2">
      <c r="A71" s="2009"/>
      <c r="B71" s="2009"/>
      <c r="C71" s="1036" t="str">
        <f>F!C214</f>
        <v>was not measured but surface water is NOT tea-colored. Enter "1" in column to the right.</v>
      </c>
      <c r="D71" s="788">
        <f>F!D214</f>
        <v>0</v>
      </c>
      <c r="E71" s="380"/>
      <c r="F71" s="380"/>
      <c r="G71" s="722"/>
      <c r="H71" s="2172"/>
      <c r="I71" s="1911"/>
    </row>
    <row r="72" spans="1:10" ht="26.25" customHeight="1" thickBot="1" x14ac:dyDescent="0.25">
      <c r="A72" s="2010"/>
      <c r="B72" s="2010"/>
      <c r="C72" s="1037" t="str">
        <f>F!C215</f>
        <v>was measured, and is:  [enter the reading in the column to the right]:</v>
      </c>
      <c r="D72" s="790">
        <f>F!D215</f>
        <v>0</v>
      </c>
      <c r="E72" s="380"/>
      <c r="F72" s="380"/>
      <c r="G72" s="722"/>
      <c r="H72" s="2173"/>
      <c r="I72" s="1911"/>
    </row>
    <row r="73" spans="1:10" ht="21" customHeight="1" thickBot="1" x14ac:dyDescent="0.25">
      <c r="A73" s="2008" t="str">
        <f>F!A216</f>
        <v>F44</v>
      </c>
      <c r="B73" s="2008" t="str">
        <f>F!B216</f>
        <v>TDS and/or Conductivity</v>
      </c>
      <c r="C73" s="131" t="str">
        <f>F!C216</f>
        <v>The Total Dissolved Solids (TDS) and/or Conductivity in most of the AA's surface water:</v>
      </c>
      <c r="D73" s="282"/>
      <c r="E73" s="376"/>
      <c r="F73" s="262"/>
      <c r="G73" s="1040" t="str">
        <f>IF((D74=1),"",IF((D77+D78=0),"", IF((D75=1),0,IF((G77=0),0, IF((G78=0),0, "")))))</f>
        <v/>
      </c>
      <c r="H73" s="1910" t="s">
        <v>1721</v>
      </c>
      <c r="I73" s="1867" t="s">
        <v>2021</v>
      </c>
    </row>
    <row r="74" spans="1:10" ht="27" customHeight="1" x14ac:dyDescent="0.2">
      <c r="A74" s="2009"/>
      <c r="B74" s="2009"/>
      <c r="C74" s="1041" t="str">
        <f>F!C217</f>
        <v>was not measured because no surface water could be found during this visit. Enter "1" in column to the right.</v>
      </c>
      <c r="D74" s="788">
        <f>F!D217</f>
        <v>0</v>
      </c>
      <c r="E74" s="722"/>
      <c r="F74" s="722"/>
      <c r="G74" s="259"/>
      <c r="H74" s="1881"/>
      <c r="I74" s="1911"/>
    </row>
    <row r="75" spans="1:10" ht="27" customHeight="1" x14ac:dyDescent="0.2">
      <c r="A75" s="2009"/>
      <c r="B75" s="2009"/>
      <c r="C75" s="1042" t="str">
        <f>F!C218</f>
        <v>was not measured, and plants that indicate saline conditions are absent or in trace amounts. Enter "1" in column to the right.</v>
      </c>
      <c r="D75" s="788">
        <f>F!D218</f>
        <v>0</v>
      </c>
      <c r="E75" s="722"/>
      <c r="F75" s="722"/>
      <c r="G75" s="857"/>
      <c r="H75" s="1881"/>
      <c r="I75" s="1911"/>
    </row>
    <row r="76" spans="1:10" ht="27" customHeight="1" thickBot="1" x14ac:dyDescent="0.25">
      <c r="A76" s="2009"/>
      <c r="B76" s="2009"/>
      <c r="C76" s="1042" t="str">
        <f>F!C219</f>
        <v>was not measured, but plants that indicate saline conditions are present. Enter "1" in column to the right.</v>
      </c>
      <c r="D76" s="788">
        <f>F!D219</f>
        <v>0</v>
      </c>
      <c r="E76" s="722"/>
      <c r="F76" s="722"/>
      <c r="G76" s="857"/>
      <c r="H76" s="1881"/>
      <c r="I76" s="1911"/>
    </row>
    <row r="77" spans="1:10" ht="27" customHeight="1" thickBot="1" x14ac:dyDescent="0.25">
      <c r="A77" s="2009"/>
      <c r="B77" s="2009"/>
      <c r="C77" s="1042" t="str">
        <f>F!C220</f>
        <v>TDS is: [enter the reading in ppm or mg/L in the column to the right if measured, or answer next row]:</v>
      </c>
      <c r="D77" s="788">
        <f>F!D220</f>
        <v>0</v>
      </c>
      <c r="E77" s="722"/>
      <c r="F77" s="722"/>
      <c r="G77" s="232">
        <f>IF((D77=""),"", IF((D77&lt;100),0, IF((D77&gt;2000),0, "")))</f>
        <v>0</v>
      </c>
      <c r="H77" s="1881"/>
      <c r="I77" s="1911"/>
    </row>
    <row r="78" spans="1:10" ht="15" customHeight="1" thickBot="1" x14ac:dyDescent="0.25">
      <c r="A78" s="2010"/>
      <c r="B78" s="2010"/>
      <c r="C78" s="1043" t="str">
        <f>F!C221</f>
        <v>Conductivity is  [enter the reading in µS/cm in the column to the right]:</v>
      </c>
      <c r="D78" s="291">
        <f>F!D221</f>
        <v>0</v>
      </c>
      <c r="E78" s="244"/>
      <c r="F78" s="244"/>
      <c r="G78" s="232">
        <f>IF((D78=""),"", IF((D78&lt;30),0, IF((D78&gt;3000),0, "")))</f>
        <v>0</v>
      </c>
      <c r="H78" s="1882"/>
      <c r="I78" s="1978"/>
    </row>
    <row r="79" spans="1:10" s="110" customFormat="1" ht="21" customHeight="1" thickBot="1" x14ac:dyDescent="0.25">
      <c r="A79" s="1991" t="str">
        <f>F!A222</f>
        <v>F45</v>
      </c>
      <c r="B79" s="2009" t="str">
        <f>F!B222</f>
        <v>Beaver Probability</v>
      </c>
      <c r="C79" s="1397" t="str">
        <f>F!C222</f>
        <v>Use of the AA by beaver during the past 5 years is (select most applicable ONE):</v>
      </c>
      <c r="D79" s="437"/>
      <c r="E79" s="239"/>
      <c r="F79" s="259"/>
      <c r="G79" s="219">
        <f>MAX(F80:F82)/MAX(E80:E82)</f>
        <v>0</v>
      </c>
      <c r="H79" s="1867" t="s">
        <v>830</v>
      </c>
      <c r="I79" s="1867" t="s">
        <v>863</v>
      </c>
      <c r="J79" s="80"/>
    </row>
    <row r="80" spans="1:10" s="110" customFormat="1" ht="25.5" x14ac:dyDescent="0.2">
      <c r="A80" s="1991"/>
      <c r="B80" s="2009"/>
      <c r="C80" s="575" t="str">
        <f>F!C223</f>
        <v>evident from direct observation or presence of gnawed limbs, dams, tracks, dens, lodges, or extensive stands of water-killed trees (snags).</v>
      </c>
      <c r="D80" s="180">
        <f>F!D223</f>
        <v>0</v>
      </c>
      <c r="E80" s="241">
        <v>5</v>
      </c>
      <c r="F80" s="241">
        <f>D80*E80</f>
        <v>0</v>
      </c>
      <c r="G80" s="202"/>
      <c r="H80" s="1911"/>
      <c r="I80" s="1911"/>
      <c r="J80" s="80"/>
    </row>
    <row r="81" spans="1:10" s="110" customFormat="1" ht="54" customHeight="1" x14ac:dyDescent="0.2">
      <c r="A81" s="1991"/>
      <c r="B81" s="2009"/>
      <c r="C81" s="576" t="str">
        <f>F!C224</f>
        <v>likely based on known occurrence in the region and proximity to suitable habitat, which may include: (a) a persistent freshwater wetland, pond, or lake, or a perennial low or mid-gradient (&lt;10%) channel, and (b) a corridor or multiple stands of hardwood trees and shrubs in vegetated areas near surface water.</v>
      </c>
      <c r="D81" s="91">
        <f>F!D224</f>
        <v>0</v>
      </c>
      <c r="E81" s="241">
        <v>2</v>
      </c>
      <c r="F81" s="241">
        <f>D81*E81</f>
        <v>0</v>
      </c>
      <c r="G81" s="257"/>
      <c r="H81" s="1911"/>
      <c r="I81" s="1911"/>
      <c r="J81" s="80"/>
    </row>
    <row r="82" spans="1:10" s="110" customFormat="1" ht="39" thickBot="1" x14ac:dyDescent="0.25">
      <c r="A82" s="1991"/>
      <c r="B82" s="2009"/>
      <c r="C82" s="576" t="str">
        <f>F!C225</f>
        <v>unlikely because site characteristics above are deficient, and/or this is a settled area or other area where beaver are routinely removed.  But beaver occur in this part of the region (i.e., within 25 km).</v>
      </c>
      <c r="D82" s="91">
        <f>F!D225</f>
        <v>0</v>
      </c>
      <c r="E82" s="241">
        <v>1</v>
      </c>
      <c r="F82" s="241">
        <f>D82*E82</f>
        <v>0</v>
      </c>
      <c r="G82" s="257"/>
      <c r="H82" s="1911"/>
      <c r="I82" s="1911"/>
      <c r="J82" s="80"/>
    </row>
    <row r="83" spans="1:10" ht="30" customHeight="1" thickBot="1" x14ac:dyDescent="0.25">
      <c r="A83" s="2097" t="str">
        <f>F!A227</f>
        <v>F47</v>
      </c>
      <c r="B83" s="2008" t="str">
        <f>F!B227</f>
        <v>Through Flow Pattern</v>
      </c>
      <c r="C83" s="104" t="str">
        <f>F!C227</f>
        <v>During its travel through the AA at the time of peak annual flow, water arriving in channels: [select only the ONE encountered by most of the incoming water].</v>
      </c>
      <c r="D83" s="372"/>
      <c r="E83" s="376"/>
      <c r="F83" s="234"/>
      <c r="G83" s="232" t="str">
        <f>IF((Inflows=0),"",MAX(F84:F88)/MAX(E84:E88))</f>
        <v/>
      </c>
      <c r="H83" s="2158" t="s">
        <v>109</v>
      </c>
      <c r="I83" s="2073" t="s">
        <v>862</v>
      </c>
    </row>
    <row r="84" spans="1:10" ht="51" x14ac:dyDescent="0.2">
      <c r="A84" s="2098"/>
      <c r="B84" s="2009"/>
      <c r="C84" s="408" t="str">
        <f>F!C228</f>
        <v>Does not bump into plant stems as it travels through the AA.  Nearly all the water continues to travel in unvegetated (often incised) channels that have minimal contact with wetland vegetation, or through a zone of open water such as an instream pond or lake.</v>
      </c>
      <c r="D84" s="359">
        <f>F!D228</f>
        <v>0</v>
      </c>
      <c r="E84" s="377">
        <v>1</v>
      </c>
      <c r="F84" s="377">
        <f>D84*E84</f>
        <v>0</v>
      </c>
      <c r="G84" s="235"/>
      <c r="H84" s="2159"/>
      <c r="I84" s="2053"/>
    </row>
    <row r="85" spans="1:10" x14ac:dyDescent="0.2">
      <c r="A85" s="2098"/>
      <c r="B85" s="2009"/>
      <c r="C85" s="940" t="str">
        <f>F!C229</f>
        <v>bumps into herbaceous vegetation but mostly remains in fairly straight channels.</v>
      </c>
      <c r="D85" s="359">
        <f>F!D229</f>
        <v>0</v>
      </c>
      <c r="E85" s="377">
        <v>2</v>
      </c>
      <c r="F85" s="377">
        <f>D85*E85</f>
        <v>0</v>
      </c>
      <c r="G85" s="236"/>
      <c r="H85" s="2159"/>
      <c r="I85" s="2053"/>
    </row>
    <row r="86" spans="1:10" ht="27" customHeight="1" x14ac:dyDescent="0.2">
      <c r="A86" s="2098"/>
      <c r="B86" s="2009"/>
      <c r="C86" s="469" t="str">
        <f>F!C230</f>
        <v>bumps into herbaceous vegetation and mostly spreads throughout, or is in widely  meandering, multi-branched, or braided channels.</v>
      </c>
      <c r="D86" s="359">
        <f>F!D230</f>
        <v>0</v>
      </c>
      <c r="E86" s="377">
        <v>4</v>
      </c>
      <c r="F86" s="377">
        <f>D86*E86</f>
        <v>0</v>
      </c>
      <c r="G86" s="236"/>
      <c r="H86" s="2159"/>
      <c r="I86" s="2053"/>
    </row>
    <row r="87" spans="1:10" ht="18" customHeight="1" x14ac:dyDescent="0.2">
      <c r="A87" s="2098"/>
      <c r="B87" s="2009"/>
      <c r="C87" s="469" t="str">
        <f>F!C231</f>
        <v>bumps into tree trunks and/or shrub stems but mostly remains in fairly straight channels.</v>
      </c>
      <c r="D87" s="468">
        <f>F!D231</f>
        <v>0</v>
      </c>
      <c r="E87" s="377">
        <v>3</v>
      </c>
      <c r="F87" s="377">
        <f>D87*E87</f>
        <v>0</v>
      </c>
      <c r="G87" s="236"/>
      <c r="H87" s="2159"/>
      <c r="I87" s="2053"/>
    </row>
    <row r="88" spans="1:10" ht="27" customHeight="1" thickBot="1" x14ac:dyDescent="0.25">
      <c r="A88" s="2099"/>
      <c r="B88" s="2010"/>
      <c r="C88" s="129" t="str">
        <f>F!C232</f>
        <v>bumps into tree trunks and/or shrub stems and follows a fairly indirect path from entrance to exit (meandering, multi-branched, or braided).</v>
      </c>
      <c r="D88" s="81">
        <f>F!D232</f>
        <v>0</v>
      </c>
      <c r="E88" s="244">
        <v>4</v>
      </c>
      <c r="F88" s="244">
        <f>D88*E88</f>
        <v>0</v>
      </c>
      <c r="G88" s="237"/>
      <c r="H88" s="2160"/>
      <c r="I88" s="2074"/>
    </row>
    <row r="89" spans="1:10" ht="77.25" thickBot="1" x14ac:dyDescent="0.25">
      <c r="A89" s="2098" t="str">
        <f>F!A233</f>
        <v>F48</v>
      </c>
      <c r="B89" s="2009" t="str">
        <f>F!B233</f>
        <v>Channel Connection &amp; Outflow Duration</v>
      </c>
      <c r="C89" s="1391" t="str">
        <f>F!C233</f>
        <v>The most persistent surface water connection (outlet channel or pipe, ditch, or overbank water exchange) between the AA and the closest larger water body located downslope is: [Note: If the AA represents only part of a wetland, answer this according to whichever is the least permanent surface connection: the one between the AA and the rest of the wetland, or the surface connection between the wetland and a mapped stream or lake located within 200 m downslope from the wetland ]</v>
      </c>
      <c r="D89" s="437"/>
      <c r="E89" s="239"/>
      <c r="F89" s="240"/>
      <c r="G89" s="231">
        <f>MAX(F90:F94)/MAX(E90:E94)</f>
        <v>0</v>
      </c>
      <c r="H89" s="2158" t="s">
        <v>108</v>
      </c>
      <c r="I89" s="2073" t="s">
        <v>861</v>
      </c>
    </row>
    <row r="90" spans="1:10" ht="15" customHeight="1" x14ac:dyDescent="0.2">
      <c r="A90" s="2098"/>
      <c r="B90" s="2009"/>
      <c r="C90" s="407" t="str">
        <f>F!C234</f>
        <v>persistent (&gt;9 months/year, including times when frozen).</v>
      </c>
      <c r="D90" s="443">
        <f>F!D234</f>
        <v>0</v>
      </c>
      <c r="E90" s="241">
        <v>3</v>
      </c>
      <c r="F90" s="241">
        <f>D90*E90</f>
        <v>0</v>
      </c>
      <c r="G90" s="235"/>
      <c r="H90" s="2159"/>
      <c r="I90" s="2053"/>
    </row>
    <row r="91" spans="1:10" ht="25.5" x14ac:dyDescent="0.2">
      <c r="A91" s="2098"/>
      <c r="B91" s="2009"/>
      <c r="C91" s="328" t="str">
        <f>F!C235</f>
        <v>seasonal (14 days to 9 months/year, not necessarily consecutive, including times when frozen).</v>
      </c>
      <c r="D91" s="40">
        <f>F!D235</f>
        <v>0</v>
      </c>
      <c r="E91" s="241">
        <v>2</v>
      </c>
      <c r="F91" s="241">
        <f>D91*E91</f>
        <v>0</v>
      </c>
      <c r="G91" s="236"/>
      <c r="H91" s="2159"/>
      <c r="I91" s="2053"/>
    </row>
    <row r="92" spans="1:10" x14ac:dyDescent="0.2">
      <c r="A92" s="2098"/>
      <c r="B92" s="2009"/>
      <c r="C92" s="328" t="str">
        <f>F!C236</f>
        <v>temporary (&lt;14 days, not necessarily consecutive, but must be unfrozen).</v>
      </c>
      <c r="D92" s="22">
        <f>F!D236</f>
        <v>0</v>
      </c>
      <c r="E92" s="241">
        <v>1</v>
      </c>
      <c r="F92" s="241">
        <f>D92*E92</f>
        <v>0</v>
      </c>
      <c r="G92" s="236"/>
      <c r="H92" s="2159"/>
      <c r="I92" s="2053"/>
    </row>
    <row r="93" spans="1:10" ht="38.25" x14ac:dyDescent="0.2">
      <c r="A93" s="2098"/>
      <c r="B93" s="2009"/>
      <c r="C93" s="328" t="str">
        <f>F!C237</f>
        <v xml:space="preserve">none -- but maps show a stream or other water body that is downslope from the AA and within a distance that is less than the AA's length.  If so, mark "1" here and SKIP TO F50 (Groundwater). </v>
      </c>
      <c r="D93" s="22">
        <f>F!D237</f>
        <v>0</v>
      </c>
      <c r="E93" s="245">
        <v>0</v>
      </c>
      <c r="F93" s="241">
        <f>D93*E93</f>
        <v>0</v>
      </c>
      <c r="G93" s="367"/>
      <c r="H93" s="2159"/>
      <c r="I93" s="2053"/>
    </row>
    <row r="94" spans="1:10" ht="42" customHeight="1" thickBot="1" x14ac:dyDescent="0.25">
      <c r="A94" s="2098"/>
      <c r="B94" s="2009"/>
      <c r="C94" s="366" t="str">
        <f>F!C238</f>
        <v xml:space="preserve">no surface water flows out of the wetland except possibly during extreme events (&lt;once per 10 years). Or, water flows only into a wetland, ditch, or lake that lacks an outlet.  If so, mark "1" here and SKIP TO F50 (Groundwater). </v>
      </c>
      <c r="D94" s="356">
        <f>F!D238</f>
        <v>0</v>
      </c>
      <c r="E94" s="384">
        <v>0</v>
      </c>
      <c r="F94" s="380">
        <f>D94*E94</f>
        <v>0</v>
      </c>
      <c r="G94" s="367"/>
      <c r="H94" s="2160"/>
      <c r="I94" s="2074"/>
    </row>
    <row r="95" spans="1:10" s="110" customFormat="1" ht="21" customHeight="1" thickBot="1" x14ac:dyDescent="0.25">
      <c r="A95" s="1992" t="str">
        <f>F!A243</f>
        <v>F50</v>
      </c>
      <c r="B95" s="2008" t="str">
        <f>F!B243</f>
        <v>Groundwater: Strength of Evidence</v>
      </c>
      <c r="C95" s="352" t="str">
        <f>F!C243</f>
        <v xml:space="preserve">Select first applicable choice. </v>
      </c>
      <c r="D95" s="372"/>
      <c r="E95" s="376"/>
      <c r="F95" s="262"/>
      <c r="G95" s="225">
        <f>MAX(F96:F98)/MAX(E96:E98)</f>
        <v>0</v>
      </c>
      <c r="H95" s="1867" t="s">
        <v>112</v>
      </c>
      <c r="I95" s="1867" t="s">
        <v>1333</v>
      </c>
      <c r="J95" s="80"/>
    </row>
    <row r="96" spans="1:10" s="110" customFormat="1" ht="57.75" customHeight="1" x14ac:dyDescent="0.2">
      <c r="A96" s="1991"/>
      <c r="B96" s="2009"/>
      <c r="C96" s="575" t="str">
        <f>F!C244</f>
        <v xml:space="preserve">Springs are known to be present within the AA, or if groundwater levels have been monitored, that has demonstrated that groundwater primarily discharges to the wetland for longer periods during the year than periods when the wetland recharges the groundwater. 
</v>
      </c>
      <c r="D96" s="180">
        <f>F!D244</f>
        <v>0</v>
      </c>
      <c r="E96" s="377">
        <v>2</v>
      </c>
      <c r="F96" s="377">
        <f>D96*E96</f>
        <v>0</v>
      </c>
      <c r="G96" s="202"/>
      <c r="H96" s="1911"/>
      <c r="I96" s="1911"/>
      <c r="J96" s="80"/>
    </row>
    <row r="97" spans="1:10" s="110" customFormat="1" ht="84" customHeight="1" x14ac:dyDescent="0.2">
      <c r="A97" s="1991"/>
      <c r="B97" s="2009"/>
      <c r="C97" s="576" t="str">
        <f>F!C245</f>
        <v xml:space="preserve">If surface water is present, its pH (Q44) is &gt;5.5 AND one or more of the following are true: (a) the AA is located very close to the base of (but mostly not ON) a natural slope much steeper (usually &gt;15%) than that within the AA and longer than 100 m, OR
(b) rust deposits ("iron floc"), colored precipitates, or dispersible natural oil sheen are prevalent in the AA, OR
(c) AA is located at a geologic fault.
</v>
      </c>
      <c r="D97" s="354">
        <f>F!D245</f>
        <v>0</v>
      </c>
      <c r="E97" s="377">
        <v>1</v>
      </c>
      <c r="F97" s="377">
        <f>D97*E97</f>
        <v>0</v>
      </c>
      <c r="G97" s="202"/>
      <c r="H97" s="1911"/>
      <c r="I97" s="1911"/>
      <c r="J97" s="80"/>
    </row>
    <row r="98" spans="1:10" s="110" customFormat="1" ht="27" customHeight="1" thickBot="1" x14ac:dyDescent="0.25">
      <c r="A98" s="1993"/>
      <c r="B98" s="2010"/>
      <c r="C98" s="445" t="str">
        <f>F!C246</f>
        <v>Neither of above is true, although some groundwater may discharge to or flow through the AA.  Or groundwater influx is unknown.</v>
      </c>
      <c r="D98" s="94">
        <f>F!D246</f>
        <v>0</v>
      </c>
      <c r="E98" s="244">
        <v>0</v>
      </c>
      <c r="F98" s="244">
        <f>D98*E98</f>
        <v>0</v>
      </c>
      <c r="G98" s="277"/>
      <c r="H98" s="1978"/>
      <c r="I98" s="1978"/>
      <c r="J98" s="80"/>
    </row>
    <row r="99" spans="1:10" ht="30" customHeight="1" thickBot="1" x14ac:dyDescent="0.25">
      <c r="A99" s="1991" t="str">
        <f>F!A252</f>
        <v>F52</v>
      </c>
      <c r="B99" s="2009" t="str">
        <f>F!B252</f>
        <v>Percent of Buffer with Perennial Vegetation</v>
      </c>
      <c r="C99" s="1391" t="str">
        <f>F!C252</f>
        <v>Extending 30 m on all sides from the AA's edge,  the percentage that contains water or perennial vegetation taller than 10 cm during most of the growing season is:</v>
      </c>
      <c r="D99" s="437"/>
      <c r="E99" s="239"/>
      <c r="F99" s="240"/>
      <c r="G99" s="219">
        <f>MAX(F100:F104)/MAX(E100:E104)</f>
        <v>0</v>
      </c>
      <c r="H99" s="2158" t="s">
        <v>110</v>
      </c>
      <c r="I99" s="2073" t="s">
        <v>277</v>
      </c>
    </row>
    <row r="100" spans="1:10" ht="15" customHeight="1" x14ac:dyDescent="0.2">
      <c r="A100" s="2035"/>
      <c r="B100" s="2138"/>
      <c r="C100" s="407" t="str">
        <f>F!C253</f>
        <v xml:space="preserve">&lt;5% </v>
      </c>
      <c r="D100" s="40">
        <f>F!D253</f>
        <v>0</v>
      </c>
      <c r="E100" s="241">
        <v>0</v>
      </c>
      <c r="F100" s="241">
        <f>D100*E100</f>
        <v>0</v>
      </c>
      <c r="G100" s="235"/>
      <c r="H100" s="2159"/>
      <c r="I100" s="2053"/>
    </row>
    <row r="101" spans="1:10" ht="15" customHeight="1" x14ac:dyDescent="0.2">
      <c r="A101" s="2035"/>
      <c r="B101" s="2138"/>
      <c r="C101" s="328" t="str">
        <f>F!C254</f>
        <v>5 to 30%</v>
      </c>
      <c r="D101" s="40">
        <f>F!D254</f>
        <v>0</v>
      </c>
      <c r="E101" s="241">
        <v>2</v>
      </c>
      <c r="F101" s="241">
        <f>D101*E101</f>
        <v>0</v>
      </c>
      <c r="G101" s="236"/>
      <c r="H101" s="2159"/>
      <c r="I101" s="2053"/>
    </row>
    <row r="102" spans="1:10" ht="15" customHeight="1" x14ac:dyDescent="0.2">
      <c r="A102" s="2035"/>
      <c r="B102" s="2138"/>
      <c r="C102" s="328" t="str">
        <f>F!C255</f>
        <v>30 to 60%</v>
      </c>
      <c r="D102" s="40">
        <f>F!D255</f>
        <v>0</v>
      </c>
      <c r="E102" s="241">
        <v>3</v>
      </c>
      <c r="F102" s="241">
        <f>D102*E102</f>
        <v>0</v>
      </c>
      <c r="G102" s="236"/>
      <c r="H102" s="2159"/>
      <c r="I102" s="2053"/>
    </row>
    <row r="103" spans="1:10" ht="15" customHeight="1" x14ac:dyDescent="0.2">
      <c r="A103" s="2035"/>
      <c r="B103" s="2138"/>
      <c r="C103" s="328" t="str">
        <f>F!C256</f>
        <v>60 to 90%</v>
      </c>
      <c r="D103" s="40">
        <f>F!D256</f>
        <v>0</v>
      </c>
      <c r="E103" s="241">
        <v>4</v>
      </c>
      <c r="F103" s="241">
        <f>D103*E103</f>
        <v>0</v>
      </c>
      <c r="G103" s="236"/>
      <c r="H103" s="2159"/>
      <c r="I103" s="2053"/>
    </row>
    <row r="104" spans="1:10" ht="15" customHeight="1" thickBot="1" x14ac:dyDescent="0.25">
      <c r="A104" s="2035"/>
      <c r="B104" s="2138"/>
      <c r="C104" s="780" t="str">
        <f>F!C257</f>
        <v>&gt;90%, or the AA does not adjoin any upland  SKIP to F54 (Cliffs).</v>
      </c>
      <c r="D104" s="356">
        <f>F!D257</f>
        <v>0</v>
      </c>
      <c r="E104" s="380">
        <v>6</v>
      </c>
      <c r="F104" s="380">
        <f>D104*E104</f>
        <v>0</v>
      </c>
      <c r="G104" s="744"/>
      <c r="H104" s="2159"/>
      <c r="I104" s="2053"/>
    </row>
    <row r="105" spans="1:10" ht="21" customHeight="1" thickBot="1" x14ac:dyDescent="0.25">
      <c r="A105" s="2155" t="str">
        <f>F!A269</f>
        <v>F56</v>
      </c>
      <c r="B105" s="2155" t="str">
        <f>F!B269</f>
        <v>Burn History</v>
      </c>
      <c r="C105" s="1044" t="str">
        <f>F!C269</f>
        <v>More than 1% of the AA's previously vegetated area:</v>
      </c>
      <c r="D105" s="777"/>
      <c r="E105" s="376"/>
      <c r="F105" s="376"/>
      <c r="G105" s="225">
        <f>MAX(F106:F109)/MAX(E106:E109)</f>
        <v>0</v>
      </c>
      <c r="H105" s="2163" t="s">
        <v>1764</v>
      </c>
      <c r="I105" s="1867" t="s">
        <v>1351</v>
      </c>
    </row>
    <row r="106" spans="1:10" ht="15" customHeight="1" x14ac:dyDescent="0.2">
      <c r="A106" s="2156"/>
      <c r="B106" s="2156"/>
      <c r="C106" s="1045" t="str">
        <f>F!C270</f>
        <v>burned within past 5 years.</v>
      </c>
      <c r="D106" s="746">
        <f>F!D270</f>
        <v>0</v>
      </c>
      <c r="E106" s="722">
        <v>3</v>
      </c>
      <c r="F106" s="241">
        <f>D106*E106</f>
        <v>0</v>
      </c>
      <c r="G106" s="745"/>
      <c r="H106" s="2164"/>
      <c r="I106" s="1911"/>
    </row>
    <row r="107" spans="1:10" ht="15" customHeight="1" x14ac:dyDescent="0.2">
      <c r="A107" s="2156"/>
      <c r="B107" s="2156"/>
      <c r="C107" s="1046" t="str">
        <f>F!C271</f>
        <v>burned 6-10 years ago.</v>
      </c>
      <c r="D107" s="746">
        <f>F!D271</f>
        <v>0</v>
      </c>
      <c r="E107" s="722">
        <v>3</v>
      </c>
      <c r="F107" s="241">
        <f>D107*E107</f>
        <v>0</v>
      </c>
      <c r="G107" s="745"/>
      <c r="H107" s="2164"/>
      <c r="I107" s="1911"/>
    </row>
    <row r="108" spans="1:10" ht="15" customHeight="1" x14ac:dyDescent="0.2">
      <c r="A108" s="2156"/>
      <c r="B108" s="2156"/>
      <c r="C108" s="1046" t="str">
        <f>F!C272</f>
        <v>burned 11-30 years ago.</v>
      </c>
      <c r="D108" s="746">
        <f>F!D272</f>
        <v>0</v>
      </c>
      <c r="E108" s="722">
        <v>2</v>
      </c>
      <c r="F108" s="241">
        <f>D108*E108</f>
        <v>0</v>
      </c>
      <c r="G108" s="745"/>
      <c r="H108" s="2164"/>
      <c r="I108" s="1911"/>
    </row>
    <row r="109" spans="1:10" ht="15" customHeight="1" thickBot="1" x14ac:dyDescent="0.25">
      <c r="A109" s="2157"/>
      <c r="B109" s="2157"/>
      <c r="C109" s="1047" t="str">
        <f>F!C273</f>
        <v>burned &gt;30 years ago, or no evidence of a burn and no data.</v>
      </c>
      <c r="D109" s="893">
        <f>F!D273</f>
        <v>0</v>
      </c>
      <c r="E109" s="380">
        <v>1</v>
      </c>
      <c r="F109" s="380">
        <f>D109*E109</f>
        <v>0</v>
      </c>
      <c r="G109" s="894"/>
      <c r="H109" s="2164"/>
      <c r="I109" s="1978"/>
    </row>
    <row r="110" spans="1:10" s="892" customFormat="1" ht="75" customHeight="1" thickBot="1" x14ac:dyDescent="0.25">
      <c r="A110" s="2165" t="str">
        <f>F!A324</f>
        <v>F68</v>
      </c>
      <c r="B110" s="2165" t="str">
        <f>F!B324</f>
        <v>Plants or Animals of Conservation Concern</v>
      </c>
      <c r="C110" s="909" t="str">
        <f>F!C324</f>
        <v xml:space="preserve">If required, survey the AA for plant or animal species at risk in Alberta (see list in RarePlants or RareAnimals worksheet tabs), especially if the data review conducted during the office phase of this assessment indicated their past presence in the general vicinity. Do so at appropriate times of the year. If you do detect these species or have reliable knowledge of their recent (within ~5 years) occurrence within the AA, indicate that below.  </v>
      </c>
      <c r="D110" s="907"/>
      <c r="E110" s="440"/>
      <c r="F110" s="912"/>
      <c r="G110" s="915" t="str">
        <f>IF((D111=0),"",1)</f>
        <v/>
      </c>
      <c r="H110" s="2161" t="s">
        <v>2010</v>
      </c>
      <c r="I110" s="2086" t="s">
        <v>2031</v>
      </c>
      <c r="J110" s="891"/>
    </row>
    <row r="111" spans="1:10" s="892" customFormat="1" ht="15" customHeight="1" thickBot="1" x14ac:dyDescent="0.25">
      <c r="A111" s="2166"/>
      <c r="B111" s="2166"/>
      <c r="C111" s="1038" t="str">
        <f>F!C326</f>
        <v>One or more of the rare fish species was detected within the AA.</v>
      </c>
      <c r="D111" s="908">
        <f>F!D326</f>
        <v>0</v>
      </c>
      <c r="E111" s="263"/>
      <c r="F111" s="263"/>
      <c r="G111" s="914"/>
      <c r="H111" s="2162"/>
      <c r="I111" s="2088"/>
      <c r="J111" s="891"/>
    </row>
    <row r="112" spans="1:10" ht="60" customHeight="1" thickBot="1" x14ac:dyDescent="0.25">
      <c r="A112" s="462" t="str">
        <f>S!A3</f>
        <v>S1</v>
      </c>
      <c r="B112" s="466" t="str">
        <f>S!B3</f>
        <v>Aberrant Hydrologic Regime</v>
      </c>
      <c r="C112" s="906" t="str">
        <f>S!E24</f>
        <v>Stressor Subscore=</v>
      </c>
      <c r="D112" s="895">
        <f>S!F24</f>
        <v>0</v>
      </c>
      <c r="E112" s="276"/>
      <c r="F112" s="787"/>
      <c r="G112" s="761">
        <f>1-D112</f>
        <v>1</v>
      </c>
      <c r="H112" s="1428" t="s">
        <v>111</v>
      </c>
      <c r="I112" s="1416" t="s">
        <v>2423</v>
      </c>
    </row>
    <row r="113" spans="1:11" ht="100.5" customHeight="1" thickBot="1" x14ac:dyDescent="0.25">
      <c r="A113" s="1039" t="str">
        <f>S!A25</f>
        <v>S2</v>
      </c>
      <c r="B113" s="466" t="str">
        <f>S!B25</f>
        <v>Accelerated Inputs of Contaminants and/or Salts</v>
      </c>
      <c r="C113" s="463"/>
      <c r="D113" s="280">
        <f>S!F39</f>
        <v>0</v>
      </c>
      <c r="E113" s="269"/>
      <c r="F113" s="270"/>
      <c r="G113" s="273">
        <f>1-D113</f>
        <v>1</v>
      </c>
      <c r="H113" s="473" t="s">
        <v>732</v>
      </c>
      <c r="I113" s="794" t="s">
        <v>1955</v>
      </c>
    </row>
    <row r="114" spans="1:11" ht="21" customHeight="1" thickBot="1" x14ac:dyDescent="0.25">
      <c r="A114" s="614"/>
      <c r="B114" s="614"/>
      <c r="C114" s="614"/>
      <c r="D114" s="612"/>
      <c r="E114" s="612"/>
      <c r="F114" s="612"/>
      <c r="G114" s="612"/>
      <c r="H114" s="394"/>
      <c r="I114" s="394"/>
    </row>
    <row r="115" spans="1:11" s="5" customFormat="1" ht="21" customHeight="1" thickBot="1" x14ac:dyDescent="0.25">
      <c r="A115" s="1246"/>
      <c r="B115" s="1246"/>
      <c r="C115" s="391" t="s">
        <v>733</v>
      </c>
      <c r="D115" s="613"/>
      <c r="E115" s="613"/>
      <c r="F115" s="613"/>
      <c r="G115" s="613"/>
      <c r="H115" s="6"/>
      <c r="I115" s="6"/>
      <c r="J115" s="110"/>
    </row>
    <row r="116" spans="1:11" s="5" customFormat="1" ht="30" customHeight="1" thickBot="1" x14ac:dyDescent="0.25">
      <c r="A116" s="1246"/>
      <c r="B116" s="1246"/>
      <c r="C116" s="83" t="s">
        <v>2475</v>
      </c>
      <c r="D116" s="507"/>
      <c r="E116" s="507"/>
      <c r="F116" s="507"/>
      <c r="G116" s="285">
        <f>(MAX(FishPres, Fish10)+ AVERAGE(GrowDD, Groundw10, Lake10, Fringe10, Conduc10, Beaver10, Burn10,AcidicPool10))/2</f>
        <v>0</v>
      </c>
      <c r="H116" s="6"/>
      <c r="I116" s="6"/>
      <c r="J116" s="119"/>
      <c r="K116" s="110"/>
    </row>
    <row r="117" spans="1:11" s="5" customFormat="1" ht="21" customHeight="1" thickBot="1" x14ac:dyDescent="0.25">
      <c r="A117" s="1246"/>
      <c r="B117" s="1246"/>
      <c r="D117" s="827"/>
      <c r="E117" s="827"/>
      <c r="F117" s="827"/>
      <c r="G117" s="827"/>
      <c r="H117" s="6"/>
      <c r="I117" s="6"/>
      <c r="J117" s="110"/>
    </row>
    <row r="118" spans="1:11" s="5" customFormat="1" ht="21" customHeight="1" thickBot="1" x14ac:dyDescent="0.25">
      <c r="A118" s="1246"/>
      <c r="B118" s="1246"/>
      <c r="C118" s="391" t="s">
        <v>734</v>
      </c>
      <c r="D118" s="1027"/>
      <c r="E118" s="1027"/>
      <c r="F118" s="1027"/>
      <c r="G118" s="1027"/>
      <c r="H118" s="6"/>
      <c r="I118" s="6"/>
      <c r="J118" s="110"/>
    </row>
    <row r="119" spans="1:11" s="5" customFormat="1" ht="21" customHeight="1" thickBot="1" x14ac:dyDescent="0.25">
      <c r="A119" s="1246"/>
      <c r="B119" s="1246"/>
      <c r="C119" s="83" t="s">
        <v>2476</v>
      </c>
      <c r="D119" s="507"/>
      <c r="E119" s="507"/>
      <c r="F119" s="1495"/>
      <c r="G119" s="285">
        <f>(AVERAGE(OutDura10,PermWpct10,SatPct10, GWDspring))</f>
        <v>0</v>
      </c>
      <c r="H119" s="6"/>
      <c r="I119" s="6"/>
      <c r="J119" s="110"/>
    </row>
    <row r="120" spans="1:11" s="5" customFormat="1" ht="21" customHeight="1" thickBot="1" x14ac:dyDescent="0.25">
      <c r="A120" s="1246"/>
      <c r="B120" s="1246"/>
      <c r="D120" s="827"/>
      <c r="E120" s="827"/>
      <c r="F120" s="827"/>
      <c r="G120" s="827"/>
      <c r="H120" s="6"/>
      <c r="I120" s="6"/>
      <c r="J120" s="110"/>
    </row>
    <row r="121" spans="1:11" s="5" customFormat="1" ht="21" customHeight="1" thickBot="1" x14ac:dyDescent="0.25">
      <c r="A121" s="1246"/>
      <c r="B121" s="1246"/>
      <c r="C121" s="391" t="s">
        <v>735</v>
      </c>
      <c r="D121" s="1027"/>
      <c r="E121" s="1027"/>
      <c r="F121" s="1027"/>
      <c r="G121" s="1027"/>
      <c r="H121" s="6"/>
      <c r="I121" s="6"/>
      <c r="J121" s="110"/>
    </row>
    <row r="122" spans="1:11" s="5" customFormat="1" ht="30.75" customHeight="1" thickBot="1" x14ac:dyDescent="0.25">
      <c r="A122" s="1648"/>
      <c r="B122" s="1390"/>
      <c r="C122" s="408" t="s">
        <v>2402</v>
      </c>
      <c r="D122" s="293"/>
      <c r="E122" s="293"/>
      <c r="F122" s="293"/>
      <c r="G122" s="285">
        <f>IF((AllSat1&gt;0),"",IF((SmallAA=1),"",AVERAGE(Interspers10, ThruFlo10, Depth10, DepthEven10, Shade10, WoodAbove10 )))</f>
        <v>0</v>
      </c>
      <c r="H122" s="6"/>
      <c r="I122" s="6"/>
      <c r="J122" s="110"/>
    </row>
    <row r="123" spans="1:11" s="6" customFormat="1" ht="21" customHeight="1" thickBot="1" x14ac:dyDescent="0.25">
      <c r="A123" s="1548"/>
      <c r="B123" s="21"/>
      <c r="C123" s="110"/>
      <c r="D123" s="617"/>
      <c r="E123" s="617"/>
      <c r="F123" s="617"/>
      <c r="G123" s="617"/>
      <c r="J123" s="110"/>
    </row>
    <row r="124" spans="1:11" s="5" customFormat="1" ht="21" customHeight="1" thickBot="1" x14ac:dyDescent="0.25">
      <c r="A124" s="1548"/>
      <c r="B124" s="1548"/>
      <c r="C124" s="391" t="s">
        <v>834</v>
      </c>
      <c r="D124" s="618"/>
      <c r="E124" s="618"/>
      <c r="F124" s="618"/>
      <c r="G124" s="618"/>
      <c r="H124" s="6"/>
      <c r="I124" s="6"/>
      <c r="J124" s="110"/>
    </row>
    <row r="125" spans="1:11" s="5" customFormat="1" ht="30" customHeight="1" thickBot="1" x14ac:dyDescent="0.25">
      <c r="A125" s="1648"/>
      <c r="B125" s="1548"/>
      <c r="C125" s="408" t="s">
        <v>2270</v>
      </c>
      <c r="D125" s="293"/>
      <c r="E125" s="293"/>
      <c r="F125" s="293"/>
      <c r="G125" s="285">
        <f>AVERAGE(1-Sub0Days,WetArea,OutDura10,RipFloodpl,Depth10,ISOdry10,OWpct10)</f>
        <v>0.2</v>
      </c>
      <c r="H125" s="6"/>
      <c r="I125" s="1548"/>
      <c r="J125" s="110"/>
    </row>
    <row r="126" spans="1:11" s="6" customFormat="1" ht="21" customHeight="1" thickBot="1" x14ac:dyDescent="0.25">
      <c r="A126" s="1548"/>
      <c r="B126" s="1548"/>
      <c r="C126" s="110"/>
      <c r="D126" s="617"/>
      <c r="E126" s="617"/>
      <c r="F126" s="617"/>
      <c r="G126" s="617"/>
      <c r="J126" s="110"/>
    </row>
    <row r="127" spans="1:11" s="5" customFormat="1" ht="21" customHeight="1" thickBot="1" x14ac:dyDescent="0.25">
      <c r="A127" s="1548"/>
      <c r="B127" s="1548"/>
      <c r="C127" s="391" t="s">
        <v>835</v>
      </c>
      <c r="D127" s="618"/>
      <c r="E127" s="618"/>
      <c r="F127" s="618"/>
      <c r="G127" s="618"/>
      <c r="H127" s="6"/>
      <c r="I127" s="6"/>
      <c r="J127" s="110"/>
    </row>
    <row r="128" spans="1:11" s="5" customFormat="1" ht="21" customHeight="1" thickBot="1" x14ac:dyDescent="0.25">
      <c r="A128" s="1548"/>
      <c r="B128" s="1548"/>
      <c r="C128" s="83" t="s">
        <v>2477</v>
      </c>
      <c r="D128" s="507"/>
      <c r="E128" s="507"/>
      <c r="F128" s="507"/>
      <c r="G128" s="285">
        <f>AVERAGE(Dist2Road,1-RdDens1k,Toxic10, AltTime10, NatVegCUpct10)</f>
        <v>0.75</v>
      </c>
      <c r="H128" s="6"/>
      <c r="I128" s="6"/>
      <c r="J128" s="110"/>
    </row>
    <row r="129" spans="1:20" s="5" customFormat="1" ht="21" customHeight="1" thickBot="1" x14ac:dyDescent="0.25">
      <c r="A129" s="1548"/>
      <c r="B129" s="1548"/>
      <c r="D129" s="827"/>
      <c r="E129" s="827"/>
      <c r="F129" s="827"/>
      <c r="G129" s="827"/>
      <c r="H129" s="6"/>
      <c r="I129" s="6"/>
      <c r="J129" s="110"/>
    </row>
    <row r="130" spans="1:20" s="5" customFormat="1" ht="21" customHeight="1" thickBot="1" x14ac:dyDescent="0.25">
      <c r="A130" s="1548"/>
      <c r="B130" s="1548"/>
      <c r="C130" s="393" t="s">
        <v>846</v>
      </c>
      <c r="H130" s="6"/>
      <c r="I130" s="6"/>
      <c r="J130" s="110"/>
    </row>
    <row r="131" spans="1:20" s="5" customFormat="1" ht="21" customHeight="1" thickBot="1" x14ac:dyDescent="0.25">
      <c r="A131" s="1548"/>
      <c r="B131" s="1548"/>
      <c r="C131" s="409" t="s">
        <v>624</v>
      </c>
      <c r="D131" s="1027"/>
      <c r="E131" s="1027"/>
      <c r="F131" s="1027"/>
      <c r="G131" s="1027"/>
      <c r="H131" s="6"/>
      <c r="I131" s="6"/>
      <c r="J131" s="110"/>
    </row>
    <row r="132" spans="1:20" s="5" customFormat="1" ht="30" customHeight="1" thickBot="1" x14ac:dyDescent="0.25">
      <c r="A132" s="167"/>
      <c r="B132" s="940"/>
      <c r="C132" s="310" t="s">
        <v>2478</v>
      </c>
      <c r="D132" s="1086"/>
      <c r="E132" s="507"/>
      <c r="F132" s="507"/>
      <c r="G132" s="297">
        <f>IF((RareFish=1),10, IF((AllSat1=1),0, 10*AVERAGE(Fish10, AVERAGE(CfixF1a, HabStrucF1a, Water1a, AnoxF1a, StressF1a))))</f>
        <v>0.95</v>
      </c>
      <c r="H132" s="6"/>
      <c r="I132" s="6"/>
      <c r="J132" s="110"/>
    </row>
    <row r="133" spans="1:20" s="5" customFormat="1" ht="21" customHeight="1" thickBot="1" x14ac:dyDescent="0.25">
      <c r="A133" s="615"/>
      <c r="B133" s="615"/>
      <c r="C133" s="583"/>
      <c r="D133" s="1649"/>
      <c r="E133" s="1649"/>
      <c r="F133" s="1649"/>
      <c r="G133" s="1649"/>
      <c r="H133" s="1650"/>
      <c r="I133" s="824" t="s">
        <v>293</v>
      </c>
      <c r="J133" s="110"/>
    </row>
    <row r="134" spans="1:20" ht="25.5" x14ac:dyDescent="0.2">
      <c r="A134" s="615"/>
      <c r="B134" s="615"/>
      <c r="C134" s="1464"/>
      <c r="D134" s="1649"/>
      <c r="E134" s="1649"/>
      <c r="F134" s="1649"/>
      <c r="G134" s="1649"/>
      <c r="H134" s="1649"/>
      <c r="I134" s="1421" t="s">
        <v>1253</v>
      </c>
      <c r="J134" s="173"/>
    </row>
    <row r="135" spans="1:20" ht="38.25" x14ac:dyDescent="0.2">
      <c r="A135" s="1651"/>
      <c r="B135" s="1652"/>
      <c r="C135" s="1653"/>
      <c r="D135" s="1654"/>
      <c r="E135" s="595"/>
      <c r="F135" s="595"/>
      <c r="G135" s="595"/>
      <c r="H135" s="596"/>
      <c r="I135" s="1404" t="s">
        <v>1851</v>
      </c>
      <c r="J135" s="173"/>
    </row>
    <row r="136" spans="1:20" ht="51" x14ac:dyDescent="0.2">
      <c r="A136" s="1651"/>
      <c r="B136" s="1652"/>
      <c r="C136" s="1653"/>
      <c r="D136" s="1654"/>
      <c r="E136" s="595"/>
      <c r="F136" s="595"/>
      <c r="G136" s="595"/>
      <c r="H136" s="596"/>
      <c r="I136" s="1404" t="s">
        <v>603</v>
      </c>
      <c r="J136" s="173"/>
    </row>
    <row r="137" spans="1:20" ht="38.25" x14ac:dyDescent="0.2">
      <c r="A137" s="1651"/>
      <c r="B137" s="1652"/>
      <c r="C137" s="1653"/>
      <c r="D137" s="1654"/>
      <c r="E137" s="595"/>
      <c r="F137" s="595"/>
      <c r="G137" s="595"/>
      <c r="H137" s="596"/>
      <c r="I137" s="1404" t="s">
        <v>2012</v>
      </c>
      <c r="J137" s="173"/>
    </row>
    <row r="138" spans="1:20" ht="38.25" x14ac:dyDescent="0.2">
      <c r="A138" s="1651"/>
      <c r="B138" s="1652"/>
      <c r="C138" s="1653"/>
      <c r="D138" s="1655"/>
      <c r="E138" s="595"/>
      <c r="F138" s="595"/>
      <c r="G138" s="595"/>
      <c r="H138" s="596"/>
      <c r="I138" s="1404" t="s">
        <v>329</v>
      </c>
      <c r="J138" s="173"/>
    </row>
    <row r="139" spans="1:20" s="184" customFormat="1" ht="38.25" x14ac:dyDescent="0.2">
      <c r="A139" s="1656"/>
      <c r="B139" s="1652"/>
      <c r="C139" s="1653"/>
      <c r="D139" s="1657"/>
      <c r="E139" s="596"/>
      <c r="F139" s="596"/>
      <c r="G139" s="596"/>
      <c r="H139" s="596"/>
      <c r="I139" s="1404" t="s">
        <v>330</v>
      </c>
      <c r="J139" s="185" t="s">
        <v>406</v>
      </c>
      <c r="K139" s="185"/>
      <c r="L139" s="185"/>
      <c r="M139" s="185"/>
      <c r="N139" s="185"/>
      <c r="O139" s="185"/>
      <c r="P139" s="185"/>
      <c r="Q139" s="185"/>
      <c r="R139" s="185"/>
      <c r="S139" s="185"/>
      <c r="T139" s="185"/>
    </row>
    <row r="140" spans="1:20" s="184" customFormat="1" ht="38.25" x14ac:dyDescent="0.2">
      <c r="A140" s="1656"/>
      <c r="B140" s="1498"/>
      <c r="C140" s="1464"/>
      <c r="D140" s="1657"/>
      <c r="E140" s="596"/>
      <c r="F140" s="596"/>
      <c r="G140" s="596"/>
      <c r="H140" s="596"/>
      <c r="I140" s="1404" t="s">
        <v>1852</v>
      </c>
      <c r="J140" s="185"/>
      <c r="K140" s="185"/>
      <c r="L140" s="185"/>
      <c r="M140" s="185"/>
      <c r="N140" s="185"/>
      <c r="O140" s="185"/>
      <c r="P140" s="185"/>
      <c r="Q140" s="185"/>
      <c r="R140" s="185"/>
      <c r="S140" s="185"/>
      <c r="T140" s="185"/>
    </row>
    <row r="141" spans="1:20" s="184" customFormat="1" ht="51" x14ac:dyDescent="0.2">
      <c r="A141" s="1656"/>
      <c r="B141" s="1652"/>
      <c r="C141" s="1653"/>
      <c r="D141" s="1657"/>
      <c r="E141" s="596"/>
      <c r="F141" s="596"/>
      <c r="G141" s="596"/>
      <c r="H141" s="596"/>
      <c r="I141" s="816" t="s">
        <v>1261</v>
      </c>
      <c r="J141" s="185"/>
      <c r="K141" s="185"/>
      <c r="L141" s="185"/>
      <c r="M141" s="185"/>
      <c r="N141" s="185"/>
      <c r="O141" s="185"/>
      <c r="P141" s="185"/>
      <c r="Q141" s="185"/>
      <c r="R141" s="185"/>
      <c r="S141" s="185"/>
      <c r="T141" s="185"/>
    </row>
    <row r="142" spans="1:20" s="184" customFormat="1" ht="38.25" x14ac:dyDescent="0.2">
      <c r="A142" s="1656"/>
      <c r="B142" s="1652"/>
      <c r="C142" s="1653"/>
      <c r="D142" s="1654"/>
      <c r="E142" s="596"/>
      <c r="F142" s="596"/>
      <c r="G142" s="596"/>
      <c r="H142" s="596"/>
      <c r="I142" s="816" t="s">
        <v>1853</v>
      </c>
      <c r="J142" s="185"/>
      <c r="K142" s="185"/>
      <c r="L142" s="185"/>
      <c r="M142" s="185"/>
      <c r="N142" s="185"/>
      <c r="O142" s="185"/>
      <c r="P142" s="185"/>
      <c r="Q142" s="185"/>
      <c r="R142" s="185"/>
      <c r="S142" s="185"/>
      <c r="T142" s="185"/>
    </row>
    <row r="143" spans="1:20" s="184" customFormat="1" ht="38.25" x14ac:dyDescent="0.2">
      <c r="A143" s="1656"/>
      <c r="B143" s="1652"/>
      <c r="C143" s="1653"/>
      <c r="D143" s="1654"/>
      <c r="E143" s="596"/>
      <c r="F143" s="596"/>
      <c r="G143" s="596"/>
      <c r="H143" s="596"/>
      <c r="I143" s="816" t="s">
        <v>1854</v>
      </c>
      <c r="J143" s="185"/>
      <c r="K143" s="185"/>
      <c r="L143" s="185"/>
      <c r="M143" s="185"/>
      <c r="N143" s="185"/>
      <c r="O143" s="185"/>
      <c r="P143" s="185"/>
      <c r="Q143" s="185"/>
      <c r="R143" s="185"/>
      <c r="S143" s="185"/>
      <c r="T143" s="185"/>
    </row>
    <row r="144" spans="1:20" s="184" customFormat="1" ht="51" x14ac:dyDescent="0.2">
      <c r="A144" s="1656"/>
      <c r="B144" s="1652"/>
      <c r="C144" s="1653"/>
      <c r="D144" s="1654"/>
      <c r="E144" s="596"/>
      <c r="F144" s="596"/>
      <c r="G144" s="596"/>
      <c r="H144" s="596"/>
      <c r="I144" s="823" t="s">
        <v>2543</v>
      </c>
      <c r="J144" s="185"/>
      <c r="K144" s="185"/>
      <c r="L144" s="185"/>
      <c r="M144" s="185"/>
      <c r="N144" s="185"/>
      <c r="O144" s="185"/>
      <c r="P144" s="185"/>
      <c r="Q144" s="185"/>
      <c r="R144" s="185"/>
      <c r="S144" s="185"/>
      <c r="T144" s="185"/>
    </row>
    <row r="145" spans="1:20" s="184" customFormat="1" ht="51" x14ac:dyDescent="0.2">
      <c r="A145" s="1656"/>
      <c r="B145" s="1652"/>
      <c r="C145" s="1653"/>
      <c r="D145" s="1654"/>
      <c r="E145" s="596"/>
      <c r="F145" s="596"/>
      <c r="G145" s="596"/>
      <c r="H145" s="596"/>
      <c r="I145" s="1404" t="s">
        <v>602</v>
      </c>
      <c r="J145" s="185"/>
      <c r="K145" s="185"/>
      <c r="L145" s="185"/>
      <c r="M145" s="185"/>
      <c r="N145" s="185"/>
      <c r="O145" s="185"/>
      <c r="P145" s="185"/>
      <c r="Q145" s="185"/>
      <c r="R145" s="185"/>
      <c r="S145" s="185"/>
      <c r="T145" s="185"/>
    </row>
    <row r="146" spans="1:20" s="184" customFormat="1" ht="38.25" x14ac:dyDescent="0.2">
      <c r="A146" s="1656"/>
      <c r="B146" s="1652"/>
      <c r="C146" s="1653"/>
      <c r="D146" s="1654"/>
      <c r="E146" s="596"/>
      <c r="F146" s="596"/>
      <c r="G146" s="596"/>
      <c r="H146" s="596"/>
      <c r="I146" s="1404" t="s">
        <v>1855</v>
      </c>
      <c r="J146" s="185"/>
      <c r="K146" s="185"/>
      <c r="L146" s="185"/>
      <c r="M146" s="185"/>
      <c r="N146" s="185"/>
      <c r="O146" s="185"/>
      <c r="P146" s="185"/>
      <c r="Q146" s="185"/>
      <c r="R146" s="185"/>
      <c r="S146" s="185"/>
      <c r="T146" s="185"/>
    </row>
    <row r="147" spans="1:20" s="184" customFormat="1" ht="27" customHeight="1" x14ac:dyDescent="0.2">
      <c r="A147" s="1656"/>
      <c r="B147" s="1652"/>
      <c r="C147" s="1653"/>
      <c r="D147" s="1655"/>
      <c r="E147" s="596"/>
      <c r="F147" s="596"/>
      <c r="G147" s="596"/>
      <c r="H147" s="596"/>
      <c r="I147" s="1404" t="s">
        <v>1856</v>
      </c>
      <c r="J147" s="185"/>
      <c r="K147" s="185"/>
      <c r="L147" s="185"/>
      <c r="M147" s="185"/>
      <c r="N147" s="185"/>
      <c r="O147" s="185"/>
      <c r="P147" s="185"/>
      <c r="Q147" s="185"/>
      <c r="R147" s="185"/>
      <c r="S147" s="185"/>
      <c r="T147" s="185"/>
    </row>
    <row r="148" spans="1:20" ht="25.5" x14ac:dyDescent="0.2">
      <c r="A148" s="15"/>
      <c r="B148" s="15"/>
      <c r="C148" s="15"/>
      <c r="D148" s="15"/>
      <c r="E148" s="15"/>
      <c r="F148" s="15"/>
      <c r="G148" s="15"/>
      <c r="H148" s="15"/>
      <c r="I148" s="1404" t="s">
        <v>1857</v>
      </c>
      <c r="J148" s="173"/>
    </row>
    <row r="149" spans="1:20" ht="25.5" x14ac:dyDescent="0.2">
      <c r="C149" s="11"/>
      <c r="I149" s="837" t="s">
        <v>1858</v>
      </c>
      <c r="J149" s="173"/>
    </row>
    <row r="150" spans="1:20" ht="90" thickBot="1" x14ac:dyDescent="0.25">
      <c r="C150" s="11"/>
      <c r="I150" s="1405" t="s">
        <v>1241</v>
      </c>
      <c r="J150" s="173"/>
    </row>
    <row r="151" spans="1:20" x14ac:dyDescent="0.2">
      <c r="C151" s="11"/>
      <c r="I151" s="15"/>
      <c r="J151" s="173"/>
    </row>
    <row r="152" spans="1:20" x14ac:dyDescent="0.2">
      <c r="C152" s="11"/>
      <c r="J152" s="173"/>
    </row>
    <row r="153" spans="1:20" x14ac:dyDescent="0.2">
      <c r="C153" s="11"/>
      <c r="I153" s="15"/>
      <c r="J153" s="173"/>
    </row>
    <row r="154" spans="1:20" x14ac:dyDescent="0.2">
      <c r="C154" s="11"/>
      <c r="I154" s="15"/>
      <c r="J154" s="173"/>
    </row>
    <row r="155" spans="1:20" x14ac:dyDescent="0.2">
      <c r="C155" s="11"/>
      <c r="I155" s="15"/>
      <c r="J155" s="173"/>
    </row>
    <row r="156" spans="1:20" x14ac:dyDescent="0.2">
      <c r="B156" s="117"/>
      <c r="C156" s="11"/>
      <c r="I156" s="15"/>
      <c r="J156" s="173"/>
    </row>
    <row r="157" spans="1:20" x14ac:dyDescent="0.2">
      <c r="C157" s="11"/>
      <c r="I157" s="15"/>
      <c r="J157" s="173"/>
    </row>
    <row r="158" spans="1:20" x14ac:dyDescent="0.2">
      <c r="C158" s="11"/>
      <c r="I158" s="15"/>
      <c r="J158" s="173"/>
    </row>
    <row r="159" spans="1:20" s="15" customFormat="1" ht="33.6" customHeight="1" x14ac:dyDescent="0.2">
      <c r="A159" s="134"/>
      <c r="B159" s="134"/>
      <c r="D159" s="134"/>
      <c r="E159" s="134"/>
      <c r="F159" s="134"/>
      <c r="G159" s="134"/>
      <c r="H159" s="19"/>
      <c r="I159" s="11"/>
      <c r="J159" s="173"/>
    </row>
    <row r="160" spans="1:20" s="15" customFormat="1" ht="21" customHeight="1" x14ac:dyDescent="0.2">
      <c r="D160" s="134"/>
      <c r="G160" s="134"/>
      <c r="H160" s="19"/>
      <c r="I160" s="11"/>
      <c r="J160" s="173"/>
    </row>
    <row r="161" spans="2:10" s="15" customFormat="1" x14ac:dyDescent="0.2">
      <c r="D161" s="134"/>
      <c r="G161" s="134"/>
      <c r="H161" s="19"/>
      <c r="I161" s="11"/>
      <c r="J161" s="173"/>
    </row>
    <row r="162" spans="2:10" s="15" customFormat="1" ht="55.9" customHeight="1" x14ac:dyDescent="0.2">
      <c r="D162" s="134"/>
      <c r="G162" s="134"/>
      <c r="H162" s="19"/>
      <c r="I162" s="11"/>
      <c r="J162" s="174"/>
    </row>
    <row r="163" spans="2:10" s="15" customFormat="1" ht="42" customHeight="1" x14ac:dyDescent="0.2">
      <c r="D163" s="134"/>
      <c r="G163" s="134"/>
      <c r="H163" s="19"/>
      <c r="I163" s="11"/>
      <c r="J163" s="174"/>
    </row>
    <row r="164" spans="2:10" s="15" customFormat="1" ht="57" customHeight="1" x14ac:dyDescent="0.2">
      <c r="D164" s="134"/>
      <c r="G164" s="134"/>
      <c r="H164" s="19"/>
      <c r="I164" s="11"/>
      <c r="J164" s="174"/>
    </row>
    <row r="165" spans="2:10" s="15" customFormat="1" ht="41.45" customHeight="1" x14ac:dyDescent="0.2">
      <c r="D165" s="134"/>
      <c r="G165" s="134"/>
      <c r="H165" s="19"/>
      <c r="I165" s="11"/>
      <c r="J165" s="174"/>
    </row>
    <row r="166" spans="2:10" s="15" customFormat="1" x14ac:dyDescent="0.2">
      <c r="B166" s="117"/>
      <c r="C166" s="940"/>
      <c r="D166" s="181"/>
      <c r="E166" s="181"/>
      <c r="F166" s="181"/>
      <c r="G166" s="251"/>
      <c r="H166" s="19"/>
      <c r="I166" s="11"/>
      <c r="J166" s="174"/>
    </row>
    <row r="167" spans="2:10" s="15" customFormat="1" x14ac:dyDescent="0.2">
      <c r="B167" s="117"/>
      <c r="C167" s="940"/>
      <c r="D167" s="181"/>
      <c r="E167" s="181"/>
      <c r="F167" s="181"/>
      <c r="G167" s="251"/>
      <c r="H167" s="19"/>
      <c r="I167" s="11"/>
      <c r="J167" s="174"/>
    </row>
  </sheetData>
  <sheetProtection password="C4B9" sheet="1" objects="1" scenarios="1"/>
  <sortState ref="A3:M15">
    <sortCondition ref="H3:H15"/>
  </sortState>
  <customSheetViews>
    <customSheetView guid="{B8E02330-2419-4DE6-AD01-7ACC7A5D18DD}" scale="75">
      <selection activeCell="H120" sqref="A2:H120"/>
      <pageMargins left="0.75" right="0.75" top="1" bottom="1" header="0.5" footer="0.5"/>
      <pageSetup orientation="portrait" r:id="rId1"/>
      <headerFooter alignWithMargins="0"/>
    </customSheetView>
  </customSheetViews>
  <mergeCells count="74">
    <mergeCell ref="I68:I72"/>
    <mergeCell ref="I79:I82"/>
    <mergeCell ref="I59:I62"/>
    <mergeCell ref="H59:H62"/>
    <mergeCell ref="H73:H78"/>
    <mergeCell ref="H68:H72"/>
    <mergeCell ref="I73:I78"/>
    <mergeCell ref="H79:H82"/>
    <mergeCell ref="H63:H66"/>
    <mergeCell ref="H45:H51"/>
    <mergeCell ref="H52:H58"/>
    <mergeCell ref="I63:I66"/>
    <mergeCell ref="I52:I58"/>
    <mergeCell ref="B52:B58"/>
    <mergeCell ref="I45:I51"/>
    <mergeCell ref="E1:I1"/>
    <mergeCell ref="I41:I44"/>
    <mergeCell ref="I35:I40"/>
    <mergeCell ref="I27:I32"/>
    <mergeCell ref="I20:I26"/>
    <mergeCell ref="I14:I19"/>
    <mergeCell ref="H20:H26"/>
    <mergeCell ref="H14:H19"/>
    <mergeCell ref="H27:H32"/>
    <mergeCell ref="H35:H40"/>
    <mergeCell ref="H41:H44"/>
    <mergeCell ref="A73:A78"/>
    <mergeCell ref="B68:B72"/>
    <mergeCell ref="A1:B1"/>
    <mergeCell ref="A35:A40"/>
    <mergeCell ref="A52:A58"/>
    <mergeCell ref="B20:B26"/>
    <mergeCell ref="B27:B32"/>
    <mergeCell ref="A14:A19"/>
    <mergeCell ref="B14:B19"/>
    <mergeCell ref="A27:A32"/>
    <mergeCell ref="B35:B40"/>
    <mergeCell ref="A20:A26"/>
    <mergeCell ref="B41:B44"/>
    <mergeCell ref="A41:A44"/>
    <mergeCell ref="B45:B51"/>
    <mergeCell ref="A45:A51"/>
    <mergeCell ref="A59:A62"/>
    <mergeCell ref="B59:B62"/>
    <mergeCell ref="A68:A72"/>
    <mergeCell ref="A79:A82"/>
    <mergeCell ref="A110:A111"/>
    <mergeCell ref="B110:B111"/>
    <mergeCell ref="A105:A109"/>
    <mergeCell ref="A83:A88"/>
    <mergeCell ref="A89:A94"/>
    <mergeCell ref="A95:A98"/>
    <mergeCell ref="A99:A104"/>
    <mergeCell ref="B83:B88"/>
    <mergeCell ref="A63:A66"/>
    <mergeCell ref="B63:B66"/>
    <mergeCell ref="B79:B82"/>
    <mergeCell ref="B73:B78"/>
    <mergeCell ref="I110:I111"/>
    <mergeCell ref="B95:B98"/>
    <mergeCell ref="B99:B104"/>
    <mergeCell ref="I99:I104"/>
    <mergeCell ref="H110:H111"/>
    <mergeCell ref="H105:H109"/>
    <mergeCell ref="I95:I98"/>
    <mergeCell ref="H99:H104"/>
    <mergeCell ref="H95:H98"/>
    <mergeCell ref="I83:I88"/>
    <mergeCell ref="I105:I109"/>
    <mergeCell ref="B105:B109"/>
    <mergeCell ref="B89:B94"/>
    <mergeCell ref="I89:I94"/>
    <mergeCell ref="H83:H88"/>
    <mergeCell ref="H89:H94"/>
  </mergeCells>
  <phoneticPr fontId="12" type="noConversion"/>
  <conditionalFormatting sqref="D132 D128:D129 D125:D126 D116:D117 D119:D120 D122:D123 D87:D89 D91:D95 D97:D103 D106:D109 D112:D114 D81:D85 D74:D79 D69:D72 D61:D65 D45:D54 D56:D59 D41:D43 D27:D30 D32:D39 D14 D16:D25">
    <cfRule type="cellIs" dxfId="5" priority="1" operator="greaterThan">
      <formula>0</formula>
    </cfRule>
  </conditionalFormatting>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O1649"/>
  <sheetViews>
    <sheetView zoomScaleNormal="100" workbookViewId="0">
      <selection activeCell="C6" sqref="C6"/>
    </sheetView>
  </sheetViews>
  <sheetFormatPr defaultColWidth="9.33203125" defaultRowHeight="16.5" x14ac:dyDescent="0.2"/>
  <cols>
    <col min="1" max="1" width="5.83203125" style="25" customWidth="1"/>
    <col min="2" max="2" width="18.83203125" style="123" customWidth="1"/>
    <col min="3" max="3" width="69.83203125" style="5" customWidth="1"/>
    <col min="4" max="4" width="6.83203125" style="249" customWidth="1"/>
    <col min="5" max="5" width="8.33203125" style="249" customWidth="1"/>
    <col min="6" max="6" width="8.83203125" style="294" customWidth="1"/>
    <col min="7" max="7" width="10.6640625" style="295" customWidth="1"/>
    <col min="8" max="8" width="14.6640625" style="126" customWidth="1"/>
    <col min="9" max="9" width="67.83203125" style="13" customWidth="1"/>
    <col min="10" max="10" width="9.33203125" style="145"/>
    <col min="11" max="12" width="9.33203125" style="15"/>
    <col min="13" max="13" width="49.5" style="15" customWidth="1"/>
    <col min="14" max="66" width="9.33203125" style="15"/>
    <col min="67" max="16384" width="9.33203125" style="11"/>
  </cols>
  <sheetData>
    <row r="1" spans="1:67" s="61" customFormat="1" ht="46.9" customHeight="1" thickBot="1" x14ac:dyDescent="0.25">
      <c r="A1" s="2186" t="s">
        <v>1756</v>
      </c>
      <c r="B1" s="2096"/>
      <c r="C1" s="60" t="s">
        <v>523</v>
      </c>
      <c r="D1" s="497" t="s">
        <v>515</v>
      </c>
      <c r="E1" s="2183"/>
      <c r="F1" s="2184"/>
      <c r="G1" s="2184"/>
      <c r="H1" s="2184"/>
      <c r="I1" s="2185"/>
      <c r="J1" s="144"/>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row>
    <row r="2" spans="1:67" s="1014" customFormat="1" ht="50.25" thickBot="1" x14ac:dyDescent="0.25">
      <c r="A2" s="1008" t="s">
        <v>78</v>
      </c>
      <c r="B2" s="1009" t="s">
        <v>701</v>
      </c>
      <c r="C2" s="1010" t="s">
        <v>866</v>
      </c>
      <c r="D2" s="1008"/>
      <c r="E2" s="1011"/>
      <c r="F2" s="1012"/>
      <c r="G2" s="1013" t="s">
        <v>710</v>
      </c>
      <c r="H2" s="1177" t="s">
        <v>2028</v>
      </c>
      <c r="I2" s="1009" t="s">
        <v>255</v>
      </c>
    </row>
    <row r="3" spans="1:67" s="1325" customFormat="1" ht="69.75" customHeight="1" thickBot="1" x14ac:dyDescent="0.25">
      <c r="A3" s="418" t="str">
        <f>OF!A5</f>
        <v>OF4</v>
      </c>
      <c r="B3" s="323" t="str">
        <f>OF!C5</f>
        <v>Wetland Class Richness Within 1km</v>
      </c>
      <c r="C3" s="498"/>
      <c r="D3" s="324"/>
      <c r="E3" s="325"/>
      <c r="F3" s="325"/>
      <c r="G3" s="345" t="str">
        <f>IF((ClassRich1k=""),"",ClassRich1k)</f>
        <v/>
      </c>
      <c r="H3" s="351" t="s">
        <v>806</v>
      </c>
      <c r="I3" s="499" t="s">
        <v>991</v>
      </c>
      <c r="J3" s="1600"/>
      <c r="L3" s="1658"/>
      <c r="N3" s="1658"/>
      <c r="O3" s="1658"/>
      <c r="P3" s="1658"/>
    </row>
    <row r="4" spans="1:67" s="1325" customFormat="1" ht="39" customHeight="1" thickBot="1" x14ac:dyDescent="0.25">
      <c r="A4" s="317" t="str">
        <f>OF!A6</f>
        <v>OF5</v>
      </c>
      <c r="B4" s="318" t="str">
        <f>OF!C6</f>
        <v>Wetland Class Richness Within Wetland</v>
      </c>
      <c r="C4" s="500"/>
      <c r="D4" s="320"/>
      <c r="E4" s="321"/>
      <c r="F4" s="321"/>
      <c r="G4" s="330" t="str">
        <f>IF((ClassRichIn=""),"",ClassRichIn)</f>
        <v/>
      </c>
      <c r="H4" s="331" t="s">
        <v>685</v>
      </c>
      <c r="I4" s="838" t="s">
        <v>75</v>
      </c>
      <c r="J4" s="1600"/>
      <c r="L4" s="1658"/>
      <c r="N4" s="1658"/>
      <c r="O4" s="1658"/>
      <c r="P4" s="1658"/>
    </row>
    <row r="5" spans="1:67" s="1325" customFormat="1" ht="53.25" customHeight="1" thickBot="1" x14ac:dyDescent="0.25">
      <c r="A5" s="418" t="str">
        <f>OF!A7</f>
        <v>OF6</v>
      </c>
      <c r="B5" s="323" t="str">
        <f>OF!C7</f>
        <v>Distance to Nearest Annual Cropland or Developed Land</v>
      </c>
      <c r="C5" s="498"/>
      <c r="D5" s="324"/>
      <c r="E5" s="325"/>
      <c r="F5" s="325"/>
      <c r="G5" s="345" t="str">
        <f>IF((Dist2DevCrop=""),"",Dist2DevCrop)</f>
        <v/>
      </c>
      <c r="H5" s="351" t="s">
        <v>802</v>
      </c>
      <c r="I5" s="1424" t="s">
        <v>992</v>
      </c>
      <c r="J5" s="1600"/>
      <c r="L5" s="1658"/>
      <c r="N5" s="1658"/>
      <c r="O5" s="1658"/>
      <c r="P5" s="1658"/>
    </row>
    <row r="6" spans="1:67" s="1325" customFormat="1" ht="145.5" customHeight="1" thickBot="1" x14ac:dyDescent="0.25">
      <c r="A6" s="317" t="str">
        <f>OF!A8</f>
        <v>OF7</v>
      </c>
      <c r="B6" s="318" t="str">
        <f>OF!C8</f>
        <v>Distance to Nearest Road (from Wetland Edge)</v>
      </c>
      <c r="C6" s="500"/>
      <c r="D6" s="320"/>
      <c r="E6" s="321"/>
      <c r="F6" s="321"/>
      <c r="G6" s="330" t="str">
        <f>IF((Dist2Road=""),"",Dist2Road)</f>
        <v/>
      </c>
      <c r="H6" s="331" t="s">
        <v>812</v>
      </c>
      <c r="I6" s="838" t="s">
        <v>561</v>
      </c>
      <c r="J6" s="1600"/>
      <c r="N6" s="5"/>
      <c r="O6" s="5"/>
    </row>
    <row r="7" spans="1:67" s="1325" customFormat="1" ht="45" customHeight="1" thickBot="1" x14ac:dyDescent="0.25">
      <c r="A7" s="418" t="str">
        <f>OF!A14</f>
        <v>OF13</v>
      </c>
      <c r="B7" s="323" t="str">
        <f>OF!C14</f>
        <v>Fish Presence</v>
      </c>
      <c r="C7" s="498"/>
      <c r="D7" s="324"/>
      <c r="E7" s="325"/>
      <c r="F7" s="325"/>
      <c r="G7" s="345" t="str">
        <f>IF((FishPres=""),"",FishPres)</f>
        <v/>
      </c>
      <c r="H7" s="351" t="s">
        <v>675</v>
      </c>
      <c r="I7" s="1424" t="s">
        <v>993</v>
      </c>
      <c r="J7" s="1600"/>
      <c r="L7" s="1658"/>
      <c r="N7" s="1658"/>
      <c r="O7" s="1658"/>
      <c r="P7" s="1658"/>
    </row>
    <row r="8" spans="1:67" s="1325" customFormat="1" ht="45" customHeight="1" thickBot="1" x14ac:dyDescent="0.25">
      <c r="A8" s="317" t="str">
        <f>OF!A16</f>
        <v>OF15</v>
      </c>
      <c r="B8" s="318" t="str">
        <f>OF!C16</f>
        <v>Growing Degree Days</v>
      </c>
      <c r="C8" s="500" t="s">
        <v>406</v>
      </c>
      <c r="D8" s="320"/>
      <c r="E8" s="321"/>
      <c r="F8" s="321"/>
      <c r="G8" s="330" t="str">
        <f>IF((GrowDD=""),"",GrowDD)</f>
        <v/>
      </c>
      <c r="H8" s="331" t="s">
        <v>698</v>
      </c>
      <c r="I8" s="838" t="s">
        <v>557</v>
      </c>
      <c r="J8" s="1600"/>
    </row>
    <row r="9" spans="1:67" s="110" customFormat="1" ht="30" customHeight="1" thickBot="1" x14ac:dyDescent="0.25">
      <c r="A9" s="317" t="str">
        <f>OF!A17</f>
        <v>OF16</v>
      </c>
      <c r="B9" s="318" t="str">
        <f>OF!B17</f>
        <v>GWDspring</v>
      </c>
      <c r="C9" s="336"/>
      <c r="D9" s="1259"/>
      <c r="E9" s="1260"/>
      <c r="F9" s="1260"/>
      <c r="G9" s="809" t="str">
        <f>IF((GWDspring=""), "", GWDspring)</f>
        <v/>
      </c>
      <c r="H9" s="1261" t="s">
        <v>668</v>
      </c>
      <c r="I9" s="1318" t="s">
        <v>2266</v>
      </c>
      <c r="J9" s="80"/>
    </row>
    <row r="10" spans="1:67" s="1325" customFormat="1" ht="119.25" customHeight="1" thickBot="1" x14ac:dyDescent="0.25">
      <c r="A10" s="317" t="str">
        <f>OF!A22</f>
        <v>OF21</v>
      </c>
      <c r="B10" s="864" t="str">
        <f>OF!C22</f>
        <v>% Natural Cover Within 1km</v>
      </c>
      <c r="C10" s="500" t="s">
        <v>406</v>
      </c>
      <c r="D10" s="764"/>
      <c r="E10" s="765"/>
      <c r="F10" s="765"/>
      <c r="G10" s="809" t="str">
        <f>IF((NatCov1k=""),"",NatCov1k)</f>
        <v/>
      </c>
      <c r="H10" s="867" t="s">
        <v>687</v>
      </c>
      <c r="I10" s="838" t="s">
        <v>1081</v>
      </c>
      <c r="J10" s="1600"/>
      <c r="P10" s="940"/>
    </row>
    <row r="11" spans="1:67" s="1325" customFormat="1" ht="30" customHeight="1" thickBot="1" x14ac:dyDescent="0.25">
      <c r="A11" s="317" t="str">
        <f>OF!A32</f>
        <v>OF31</v>
      </c>
      <c r="B11" s="318" t="str">
        <f>OF!C32</f>
        <v>Road Density Within 1km Buffer</v>
      </c>
      <c r="C11" s="500" t="s">
        <v>867</v>
      </c>
      <c r="D11" s="320"/>
      <c r="E11" s="321"/>
      <c r="F11" s="321"/>
      <c r="G11" s="502" t="str">
        <f>IF((RdDens1k=""),"",RdDens1k)</f>
        <v/>
      </c>
      <c r="H11" s="464" t="s">
        <v>688</v>
      </c>
      <c r="I11" s="767" t="s">
        <v>1244</v>
      </c>
      <c r="J11" s="151"/>
      <c r="K11" s="940"/>
      <c r="L11" s="169"/>
      <c r="N11" s="1658"/>
      <c r="O11" s="1658"/>
      <c r="P11" s="1658"/>
      <c r="Q11" s="940"/>
      <c r="R11" s="940"/>
      <c r="S11" s="940"/>
      <c r="T11" s="940"/>
      <c r="U11" s="940"/>
      <c r="V11" s="940"/>
      <c r="W11" s="940"/>
      <c r="X11" s="940"/>
      <c r="Y11" s="940"/>
      <c r="Z11" s="940"/>
      <c r="AA11" s="940"/>
      <c r="AB11" s="940"/>
      <c r="AC11" s="940"/>
      <c r="AD11" s="940"/>
      <c r="AE11" s="940"/>
      <c r="AF11" s="940"/>
      <c r="AG11" s="940"/>
      <c r="AH11" s="940"/>
      <c r="AI11" s="940"/>
      <c r="AJ11" s="940"/>
      <c r="AK11" s="940"/>
      <c r="AL11" s="940"/>
      <c r="AM11" s="940"/>
      <c r="AN11" s="940"/>
      <c r="AO11" s="940"/>
      <c r="AP11" s="940"/>
      <c r="AQ11" s="940"/>
      <c r="AR11" s="940"/>
      <c r="AS11" s="940"/>
      <c r="AT11" s="940"/>
      <c r="AU11" s="940"/>
      <c r="AV11" s="940"/>
      <c r="AW11" s="940"/>
      <c r="AX11" s="940"/>
      <c r="AY11" s="940"/>
      <c r="AZ11" s="940"/>
      <c r="BA11" s="940"/>
      <c r="BB11" s="940"/>
      <c r="BC11" s="940"/>
      <c r="BD11" s="940"/>
      <c r="BE11" s="940"/>
      <c r="BF11" s="940"/>
      <c r="BG11" s="940"/>
      <c r="BH11" s="940"/>
      <c r="BI11" s="940"/>
      <c r="BJ11" s="940"/>
      <c r="BK11" s="940"/>
      <c r="BL11" s="940"/>
      <c r="BM11" s="940"/>
      <c r="BN11" s="940"/>
      <c r="BO11" s="5"/>
    </row>
    <row r="12" spans="1:67" s="1325" customFormat="1" ht="26.25" thickBot="1" x14ac:dyDescent="0.25">
      <c r="A12" s="317" t="str">
        <f>OF!A35</f>
        <v>OF34</v>
      </c>
      <c r="B12" s="864" t="str">
        <f>OF!C35</f>
        <v>Within Range of a Sensitive Amphibian</v>
      </c>
      <c r="C12" s="500" t="s">
        <v>891</v>
      </c>
      <c r="D12" s="764"/>
      <c r="E12" s="765"/>
      <c r="F12" s="865"/>
      <c r="G12" s="910" t="str">
        <f>IF((SensAm=""),"",IF((SensAm=1),1,""))</f>
        <v/>
      </c>
      <c r="H12" s="867" t="s">
        <v>695</v>
      </c>
      <c r="I12" s="838" t="s">
        <v>994</v>
      </c>
      <c r="J12" s="1600"/>
      <c r="L12" s="169"/>
      <c r="N12" s="1658"/>
      <c r="O12" s="1658"/>
      <c r="P12" s="1658"/>
    </row>
    <row r="13" spans="1:67" s="5" customFormat="1" ht="55.5" customHeight="1" thickBot="1" x14ac:dyDescent="0.25">
      <c r="A13" s="418" t="str">
        <f>OF!A43</f>
        <v>OF42</v>
      </c>
      <c r="B13" s="323" t="str">
        <f>OF!C43</f>
        <v>Fen or Marsh or Wet Wooded Area/ All Fen, Marsh, and Wet Wooded Within 1k</v>
      </c>
      <c r="C13" s="498" t="s">
        <v>406</v>
      </c>
      <c r="D13" s="324"/>
      <c r="E13" s="325"/>
      <c r="F13" s="325"/>
      <c r="G13" s="485" t="str">
        <f>IF((UniqFenMarshSwamp=""),"",UniqFenMarshSwamp)</f>
        <v/>
      </c>
      <c r="H13" s="1374" t="s">
        <v>1175</v>
      </c>
      <c r="I13" s="1424" t="s">
        <v>995</v>
      </c>
      <c r="J13" s="1600"/>
      <c r="K13" s="1332"/>
      <c r="L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row>
    <row r="14" spans="1:67" s="1325" customFormat="1" ht="120" customHeight="1" thickBot="1" x14ac:dyDescent="0.25">
      <c r="A14" s="317" t="str">
        <f>OF!A46</f>
        <v>OF45</v>
      </c>
      <c r="B14" s="318" t="str">
        <f>OF!C46</f>
        <v>Wetland Density Within 1km (excluding bogs)</v>
      </c>
      <c r="C14" s="500" t="s">
        <v>406</v>
      </c>
      <c r="D14" s="320"/>
      <c r="E14" s="321"/>
      <c r="F14" s="321"/>
      <c r="G14" s="502" t="str">
        <f>IF((WetDens1k_NoBog=""),"",WetDens1k_NoBog)</f>
        <v/>
      </c>
      <c r="H14" s="464" t="s">
        <v>662</v>
      </c>
      <c r="I14" s="838" t="s">
        <v>2268</v>
      </c>
      <c r="J14" s="151"/>
      <c r="K14" s="1332"/>
      <c r="L14" s="169"/>
      <c r="N14" s="110"/>
      <c r="O14" s="1658"/>
      <c r="P14" s="1658"/>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0"/>
      <c r="AY14" s="940"/>
      <c r="AZ14" s="940"/>
      <c r="BA14" s="940"/>
      <c r="BB14" s="940"/>
      <c r="BC14" s="940"/>
      <c r="BD14" s="940"/>
      <c r="BE14" s="940"/>
      <c r="BF14" s="940"/>
      <c r="BG14" s="940"/>
      <c r="BH14" s="940"/>
      <c r="BI14" s="940"/>
      <c r="BJ14" s="940"/>
      <c r="BK14" s="940"/>
      <c r="BL14" s="940"/>
      <c r="BM14" s="940"/>
      <c r="BN14" s="940"/>
      <c r="BO14" s="5"/>
    </row>
    <row r="15" spans="1:67" s="1325" customFormat="1" ht="63.6" customHeight="1" thickBot="1" x14ac:dyDescent="0.25">
      <c r="A15" s="1308" t="str">
        <f>OF!A49</f>
        <v>OF48</v>
      </c>
      <c r="B15" s="1308" t="str">
        <f>OF!C49</f>
        <v>Upland Edge Index</v>
      </c>
      <c r="C15" s="500"/>
      <c r="D15" s="1259"/>
      <c r="E15" s="1260"/>
      <c r="F15" s="1260"/>
      <c r="G15" s="766" t="str">
        <f>IF((WetPerim2Area=""),"",WetPerim2Area)</f>
        <v/>
      </c>
      <c r="H15" s="1194" t="s">
        <v>657</v>
      </c>
      <c r="I15" s="1323"/>
      <c r="J15" s="151"/>
      <c r="K15" s="1332"/>
      <c r="L15" s="169"/>
      <c r="N15" s="110"/>
      <c r="O15" s="1658"/>
      <c r="P15" s="1658"/>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0"/>
      <c r="AY15" s="940"/>
      <c r="AZ15" s="940"/>
      <c r="BA15" s="940"/>
      <c r="BB15" s="940"/>
      <c r="BC15" s="940"/>
      <c r="BD15" s="940"/>
      <c r="BE15" s="940"/>
      <c r="BF15" s="940"/>
      <c r="BG15" s="940"/>
      <c r="BH15" s="940"/>
      <c r="BI15" s="940"/>
      <c r="BJ15" s="940"/>
      <c r="BK15" s="940"/>
      <c r="BL15" s="940"/>
      <c r="BM15" s="940"/>
      <c r="BN15" s="940"/>
      <c r="BO15" s="5"/>
    </row>
    <row r="16" spans="1:67" s="1325" customFormat="1" ht="45" customHeight="1" thickBot="1" x14ac:dyDescent="0.25">
      <c r="A16" s="418" t="str">
        <f>OF!A52</f>
        <v>OF51</v>
      </c>
      <c r="B16" s="323" t="str">
        <f>OF!C52</f>
        <v>Wind Energy - Summer</v>
      </c>
      <c r="C16" s="498" t="s">
        <v>867</v>
      </c>
      <c r="D16" s="324"/>
      <c r="E16" s="325"/>
      <c r="F16" s="325"/>
      <c r="G16" s="345" t="str">
        <f>IF((WindSumm=""),"",1-WindSumm)</f>
        <v/>
      </c>
      <c r="H16" s="351" t="s">
        <v>666</v>
      </c>
      <c r="I16" s="1424" t="s">
        <v>996</v>
      </c>
      <c r="J16" s="1600"/>
    </row>
    <row r="17" spans="1:66" s="1007" customFormat="1" ht="50.25" thickBot="1" x14ac:dyDescent="0.35">
      <c r="A17" s="997" t="s">
        <v>78</v>
      </c>
      <c r="B17" s="1017" t="s">
        <v>709</v>
      </c>
      <c r="C17" s="999" t="s">
        <v>708</v>
      </c>
      <c r="D17" s="1000" t="s">
        <v>33</v>
      </c>
      <c r="E17" s="1018" t="s">
        <v>1131</v>
      </c>
      <c r="F17" s="1002" t="s">
        <v>1130</v>
      </c>
      <c r="G17" s="1003" t="s">
        <v>710</v>
      </c>
      <c r="H17" s="1019" t="s">
        <v>2028</v>
      </c>
      <c r="I17" s="1005" t="s">
        <v>917</v>
      </c>
      <c r="J17" s="1006"/>
    </row>
    <row r="18" spans="1:66" s="25" customFormat="1" ht="21" customHeight="1" thickBot="1" x14ac:dyDescent="0.25">
      <c r="A18" s="1992" t="str">
        <f>F!A5</f>
        <v>F1</v>
      </c>
      <c r="B18" s="1867" t="str">
        <f>F!B5</f>
        <v>Wetland Type - Predominant</v>
      </c>
      <c r="C18" s="352" t="str">
        <f>F!C5</f>
        <v>Follow the key below and mark the ONE row that best describes MOST of the AA:</v>
      </c>
      <c r="D18" s="777"/>
      <c r="E18" s="777"/>
      <c r="F18" s="777"/>
      <c r="G18" s="232">
        <f>MAX(F19:F24)</f>
        <v>0</v>
      </c>
      <c r="H18" s="2008" t="s">
        <v>2001</v>
      </c>
      <c r="I18" s="2008" t="s">
        <v>2403</v>
      </c>
    </row>
    <row r="19" spans="1:66" s="1" customFormat="1" ht="38.25" x14ac:dyDescent="0.2">
      <c r="A19" s="1991"/>
      <c r="B19" s="1911"/>
      <c r="C19" s="934" t="str">
        <f>F!C6</f>
        <v>A. Moss and/or lichen cover more than 25% of the ground. Substrate is mostly undecomposed peat. Choose between A1 and A2 and mark the choice with a 1 in their adjoining column. Otherwise go to B below.</v>
      </c>
      <c r="D19" s="722"/>
      <c r="E19" s="722"/>
      <c r="F19" s="722"/>
      <c r="G19" s="735"/>
      <c r="H19" s="2009"/>
      <c r="I19" s="2009"/>
      <c r="J19" s="44"/>
    </row>
    <row r="20" spans="1:66" s="1" customFormat="1" ht="89.25" x14ac:dyDescent="0.2">
      <c r="A20" s="1991"/>
      <c r="B20" s="1911"/>
      <c r="C20" s="935" t="str">
        <f>F!C7</f>
        <v xml:space="preserve">   A1. Surface water is usually absent or, if present, pH is typically &lt;4.5 and conductivity is &lt;100 µS/cm (about 64 ppm TDS).  Often dominated by ericaceous shrubs (e.g., Labrador tea, lingonberry), sometimes with pitcher plant, sundew. Sedge cover usually sparse or absent. Trees, if present, are mainly limited to black spruce.  Wetland surface is never sloping, except sometimes from wetland center towards outer edges (convex), and surrounding landscape is flat.  Inlet and outlet channels are usually absent.</v>
      </c>
      <c r="D20" s="733">
        <f>F!D7</f>
        <v>0</v>
      </c>
      <c r="E20" s="917">
        <v>0.01</v>
      </c>
      <c r="F20" s="722">
        <f t="shared" ref="F20:F24" si="0">D20*E20</f>
        <v>0</v>
      </c>
      <c r="G20" s="735"/>
      <c r="H20" s="2009"/>
      <c r="I20" s="2009"/>
      <c r="J20" s="44"/>
    </row>
    <row r="21" spans="1:66" s="1" customFormat="1" ht="63.75" x14ac:dyDescent="0.2">
      <c r="A21" s="1991"/>
      <c r="B21" s="1911"/>
      <c r="C21" s="935" t="str">
        <f>F!C8</f>
        <v xml:space="preserve">   A2. Not A1. Surface water, if present, has pH typically &gt;4.5 and conductivity is &gt;100 µS/cm.  Sedges and/or cottongrass often dominate the ground cover, while ericaceous shrubs and black spruce may also be present. Sometimes at toe of slope or edge of water body. An exit channel is usually present. Wetter than A1, often with many small persistent pools.</v>
      </c>
      <c r="D21" s="733">
        <f>F!D8</f>
        <v>0</v>
      </c>
      <c r="E21" s="917">
        <v>0.16666666666666666</v>
      </c>
      <c r="F21" s="722">
        <f t="shared" si="0"/>
        <v>0</v>
      </c>
      <c r="G21" s="735"/>
      <c r="H21" s="2009"/>
      <c r="I21" s="2009"/>
      <c r="J21" s="44"/>
    </row>
    <row r="22" spans="1:66" s="1" customFormat="1" ht="38.25" x14ac:dyDescent="0.2">
      <c r="A22" s="1991"/>
      <c r="B22" s="1911"/>
      <c r="C22" s="935" t="str">
        <f>F!C9</f>
        <v>B. Moss and/or lichen cover less than 25% of the ground. Soil is mineral or decomposed organic (muck). Choose between B1 and B2 and mark the choice with a 1 in their adjoining column:</v>
      </c>
      <c r="D22" s="735"/>
      <c r="E22" s="722"/>
      <c r="F22" s="722"/>
      <c r="G22" s="735"/>
      <c r="H22" s="2009"/>
      <c r="I22" s="2009"/>
      <c r="J22" s="44"/>
    </row>
    <row r="23" spans="1:66" s="1" customFormat="1" ht="51" x14ac:dyDescent="0.2">
      <c r="A23" s="1991"/>
      <c r="B23" s="1911"/>
      <c r="C23" s="935" t="str">
        <f>F!C10</f>
        <v xml:space="preserve">   B1. Trees and shrubs taller than 1 m comprise more than 25% of the vegetated cover. Surface water is mostly absent or inundates the vegetation only seasonally (e.g., snowmelt pools or floodplain).  Often in riparian settings, abandoned beaver flowages.</v>
      </c>
      <c r="D23" s="733">
        <f>F!D10</f>
        <v>0</v>
      </c>
      <c r="E23" s="917">
        <v>0.79</v>
      </c>
      <c r="F23" s="722">
        <f t="shared" si="0"/>
        <v>0</v>
      </c>
      <c r="G23" s="735"/>
      <c r="H23" s="2009"/>
      <c r="I23" s="2009"/>
      <c r="J23" s="44"/>
    </row>
    <row r="24" spans="1:66" s="1" customFormat="1" ht="77.25" thickBot="1" x14ac:dyDescent="0.25">
      <c r="A24" s="1991"/>
      <c r="B24" s="1911"/>
      <c r="C24" s="762" t="str">
        <f>F!C11</f>
        <v xml:space="preserve">   B2. Not B1.  Tree &amp; tall shrubs taller than 1 m comprise less than 25% of the vegetated cover. Vegetation is mostly herbaceous, e.g., cattail, bulrush, burreed, pond lily, horsetail.  Often in depressions (potholes, created ponds), or along lakes and rivers, or where fill has blocked water movement causing prolonged flooding of wetlands formerly covered by moss.  Surface water often fluctuates widely among seasons and years.</v>
      </c>
      <c r="D24" s="370">
        <f>F!D11</f>
        <v>0</v>
      </c>
      <c r="E24" s="1659">
        <v>1</v>
      </c>
      <c r="F24" s="380">
        <f t="shared" si="0"/>
        <v>0</v>
      </c>
      <c r="G24" s="1265"/>
      <c r="H24" s="2009"/>
      <c r="I24" s="2009"/>
      <c r="J24" s="44"/>
    </row>
    <row r="25" spans="1:66" s="12" customFormat="1" ht="39" thickBot="1" x14ac:dyDescent="0.25">
      <c r="A25" s="1992" t="str">
        <f>F!A25</f>
        <v>F4</v>
      </c>
      <c r="B25" s="2132" t="str">
        <f>F!B25</f>
        <v>Woody Diameter Classes</v>
      </c>
      <c r="C25" s="90" t="str">
        <f>F!C25</f>
        <v>Mark all the diameter classes of woody plants within the AA, but only IF they comprise &gt;5% of the woody canopy or subcanopy within the AA.  Do not count trees that adjoin but are not within the AA.</v>
      </c>
      <c r="D25" s="777"/>
      <c r="E25" s="376"/>
      <c r="F25" s="234"/>
      <c r="G25" s="1266" t="str">
        <f>IF((SUM(F!D19:D24)=0),"",IF((SUM(F!D19:D20)=0),"",((SUM(D26:D33)/8+ MAX(F26:F33)/MAX(E26:E33))/2)))</f>
        <v/>
      </c>
      <c r="H25" s="1910" t="s">
        <v>119</v>
      </c>
      <c r="I25" s="2180" t="s">
        <v>1687</v>
      </c>
      <c r="J25" s="144"/>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row>
    <row r="26" spans="1:66" s="12" customFormat="1" ht="15" customHeight="1" x14ac:dyDescent="0.2">
      <c r="A26" s="2035"/>
      <c r="B26" s="2148"/>
      <c r="C26" s="888" t="str">
        <f>F!C26</f>
        <v>coniferous, 1-9 cm diameter and &gt;1 m tall.</v>
      </c>
      <c r="D26" s="180">
        <f>F!D26</f>
        <v>0</v>
      </c>
      <c r="E26" s="722">
        <v>1</v>
      </c>
      <c r="F26" s="722">
        <f t="shared" ref="F26:F33" si="1">D26*E26</f>
        <v>0</v>
      </c>
      <c r="G26" s="1267"/>
      <c r="H26" s="1881"/>
      <c r="I26" s="2175"/>
      <c r="J26" s="144"/>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row>
    <row r="27" spans="1:66" s="12" customFormat="1" ht="15" customHeight="1" x14ac:dyDescent="0.2">
      <c r="A27" s="2035"/>
      <c r="B27" s="2148"/>
      <c r="C27" s="889" t="str">
        <f>F!C27</f>
        <v>broad-leaved deciduous 1-9 cm diameter and &gt;1 m tall.</v>
      </c>
      <c r="D27" s="733">
        <f>F!D27</f>
        <v>0</v>
      </c>
      <c r="E27" s="722">
        <v>2</v>
      </c>
      <c r="F27" s="722">
        <f t="shared" si="1"/>
        <v>0</v>
      </c>
      <c r="G27" s="1268"/>
      <c r="H27" s="1881"/>
      <c r="I27" s="2175"/>
      <c r="J27" s="144"/>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row>
    <row r="28" spans="1:66" s="12" customFormat="1" ht="15" customHeight="1" x14ac:dyDescent="0.2">
      <c r="A28" s="2035"/>
      <c r="B28" s="2148"/>
      <c r="C28" s="889" t="str">
        <f>F!C28</f>
        <v>coniferous, 10-19 cm diameter.</v>
      </c>
      <c r="D28" s="733">
        <f>F!D28</f>
        <v>0</v>
      </c>
      <c r="E28" s="722">
        <v>2</v>
      </c>
      <c r="F28" s="722">
        <f t="shared" si="1"/>
        <v>0</v>
      </c>
      <c r="G28" s="1268"/>
      <c r="H28" s="1881"/>
      <c r="I28" s="2175"/>
      <c r="J28" s="144"/>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row>
    <row r="29" spans="1:66" s="12" customFormat="1" ht="15" customHeight="1" x14ac:dyDescent="0.2">
      <c r="A29" s="2035"/>
      <c r="B29" s="2148"/>
      <c r="C29" s="889" t="str">
        <f>F!C29</f>
        <v>broad-leaved deciduous 10-19 cm diameter.</v>
      </c>
      <c r="D29" s="733">
        <f>F!D29</f>
        <v>0</v>
      </c>
      <c r="E29" s="722">
        <v>3</v>
      </c>
      <c r="F29" s="722">
        <f t="shared" si="1"/>
        <v>0</v>
      </c>
      <c r="G29" s="1268"/>
      <c r="H29" s="1881"/>
      <c r="I29" s="2175"/>
      <c r="J29" s="144"/>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row>
    <row r="30" spans="1:66" s="12" customFormat="1" ht="15" customHeight="1" x14ac:dyDescent="0.2">
      <c r="A30" s="2035"/>
      <c r="B30" s="2148"/>
      <c r="C30" s="889" t="str">
        <f>F!C30</f>
        <v>coniferous, 20-40 cm diameter.</v>
      </c>
      <c r="D30" s="733">
        <f>F!D30</f>
        <v>0</v>
      </c>
      <c r="E30" s="722">
        <v>3</v>
      </c>
      <c r="F30" s="722">
        <f t="shared" si="1"/>
        <v>0</v>
      </c>
      <c r="G30" s="1268"/>
      <c r="H30" s="1881"/>
      <c r="I30" s="2175"/>
      <c r="J30" s="144"/>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row>
    <row r="31" spans="1:66" s="12" customFormat="1" ht="15" customHeight="1" x14ac:dyDescent="0.2">
      <c r="A31" s="2035"/>
      <c r="B31" s="2148"/>
      <c r="C31" s="889" t="str">
        <f>F!C31</f>
        <v>broad-leaved deciduous 20-40 cm diameter.</v>
      </c>
      <c r="D31" s="733">
        <f>F!D31</f>
        <v>0</v>
      </c>
      <c r="E31" s="722">
        <v>4</v>
      </c>
      <c r="F31" s="722">
        <f t="shared" si="1"/>
        <v>0</v>
      </c>
      <c r="G31" s="1268"/>
      <c r="H31" s="1881"/>
      <c r="I31" s="2175"/>
      <c r="J31" s="144"/>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row>
    <row r="32" spans="1:66" s="12" customFormat="1" ht="15" customHeight="1" x14ac:dyDescent="0.2">
      <c r="A32" s="2035"/>
      <c r="B32" s="2148"/>
      <c r="C32" s="889" t="str">
        <f>F!C32</f>
        <v>coniferous, &gt;40 cm diameter.</v>
      </c>
      <c r="D32" s="733">
        <f>F!D32</f>
        <v>0</v>
      </c>
      <c r="E32" s="722">
        <v>4</v>
      </c>
      <c r="F32" s="722">
        <f t="shared" si="1"/>
        <v>0</v>
      </c>
      <c r="G32" s="1268"/>
      <c r="H32" s="1881"/>
      <c r="I32" s="2175"/>
      <c r="J32" s="144"/>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row>
    <row r="33" spans="1:66" s="12" customFormat="1" ht="15" customHeight="1" thickBot="1" x14ac:dyDescent="0.25">
      <c r="A33" s="2037"/>
      <c r="B33" s="2149"/>
      <c r="C33" s="82" t="str">
        <f>F!C33</f>
        <v>broad-leaved deciduous &gt;40 cm diameter.</v>
      </c>
      <c r="D33" s="94">
        <f>F!D33</f>
        <v>0</v>
      </c>
      <c r="E33" s="244">
        <v>5</v>
      </c>
      <c r="F33" s="244">
        <f t="shared" si="1"/>
        <v>0</v>
      </c>
      <c r="G33" s="1269"/>
      <c r="H33" s="1882"/>
      <c r="I33" s="2179"/>
      <c r="J33" s="144"/>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row>
    <row r="34" spans="1:66" ht="18.75" customHeight="1" thickBot="1" x14ac:dyDescent="0.25">
      <c r="A34" s="2008" t="str">
        <f>F!A34</f>
        <v>F5</v>
      </c>
      <c r="B34" s="2008" t="str">
        <f>F!B34</f>
        <v>Interspersion of Tall and Short Vegetation</v>
      </c>
      <c r="C34" s="797" t="str">
        <f>F!C34</f>
        <v>Follow the key below and mark the ONE row that best describes MOST of the AA:</v>
      </c>
      <c r="D34" s="282"/>
      <c r="E34" s="376"/>
      <c r="F34" s="376"/>
      <c r="G34" s="232">
        <f>MAX(F35:F40)/MAX(E35:E40)</f>
        <v>0</v>
      </c>
      <c r="H34" s="1910" t="s">
        <v>805</v>
      </c>
      <c r="I34" s="2008" t="s">
        <v>997</v>
      </c>
    </row>
    <row r="35" spans="1:66" ht="51" x14ac:dyDescent="0.2">
      <c r="A35" s="2009"/>
      <c r="B35" s="2009"/>
      <c r="C35" s="1660" t="str">
        <f>F!C35</f>
        <v>A. Neither the vegetation taller than 1m nor the vegetation shorter than that comprise &gt;70% of the vegetated part of the AA. They each comprise 30-70%.  If false, go to B below.  Otherwise choose between A1 and A2 and mark the choice with a 1 in the adjoining column:</v>
      </c>
      <c r="D35" s="722"/>
      <c r="E35" s="722"/>
      <c r="F35" s="722"/>
      <c r="G35" s="760"/>
      <c r="H35" s="1881"/>
      <c r="I35" s="2009"/>
    </row>
    <row r="36" spans="1:66" x14ac:dyDescent="0.2">
      <c r="A36" s="2009"/>
      <c r="B36" s="2009"/>
      <c r="C36" s="1660" t="str">
        <f>F!C36</f>
        <v xml:space="preserve">   A1. The two height classes are mostly scattered and intermixed throughout the AA.</v>
      </c>
      <c r="D36" s="1661">
        <f>F!D36</f>
        <v>0</v>
      </c>
      <c r="E36" s="722">
        <v>3</v>
      </c>
      <c r="F36" s="722">
        <f t="shared" ref="F36:F37" si="2">D36*E36</f>
        <v>0</v>
      </c>
      <c r="G36" s="760"/>
      <c r="H36" s="1881"/>
      <c r="I36" s="2009"/>
    </row>
    <row r="37" spans="1:66" ht="31.9" customHeight="1" x14ac:dyDescent="0.2">
      <c r="A37" s="2009"/>
      <c r="B37" s="2009"/>
      <c r="C37" s="1660" t="str">
        <f>F!C37</f>
        <v xml:space="preserve">   A2. Not A1.  The two height classes are mostly in separate zones or bands, or in proportionately large clumps.</v>
      </c>
      <c r="D37" s="1661">
        <f>F!D37</f>
        <v>0</v>
      </c>
      <c r="E37" s="722">
        <v>2</v>
      </c>
      <c r="F37" s="722">
        <f t="shared" si="2"/>
        <v>0</v>
      </c>
      <c r="G37" s="760"/>
      <c r="H37" s="1881"/>
      <c r="I37" s="2009"/>
    </row>
    <row r="38" spans="1:66" ht="42" customHeight="1" x14ac:dyDescent="0.2">
      <c r="A38" s="2009"/>
      <c r="B38" s="2009"/>
      <c r="C38" s="1662" t="str">
        <f>F!C38</f>
        <v>B. Either the vegetation taller than 1m or the vegetation shorter than 1m comprise &gt;70% of the vegetated part of the AA.  One size class might even be totally absent.  Choose between B1 and B2 and mark the choice with a 1 in the adjoining column:</v>
      </c>
      <c r="D38" s="722"/>
      <c r="E38" s="722"/>
      <c r="F38" s="722"/>
      <c r="G38" s="760"/>
      <c r="H38" s="1881"/>
      <c r="I38" s="2009"/>
    </row>
    <row r="39" spans="1:66" ht="25.5" x14ac:dyDescent="0.2">
      <c r="A39" s="2009"/>
      <c r="B39" s="2009"/>
      <c r="C39" s="1662" t="str">
        <f>F!C39</f>
        <v xml:space="preserve">   B1. The less prevalent height class is mostly scattered and intermixed within the prevalent one.</v>
      </c>
      <c r="D39" s="788">
        <f>F!D39</f>
        <v>0</v>
      </c>
      <c r="E39" s="722">
        <v>1</v>
      </c>
      <c r="F39" s="722">
        <f>D39*E39</f>
        <v>0</v>
      </c>
      <c r="G39" s="760"/>
      <c r="H39" s="1881"/>
      <c r="I39" s="2009"/>
    </row>
    <row r="40" spans="1:66" ht="27.75" customHeight="1" thickBot="1" x14ac:dyDescent="0.25">
      <c r="A40" s="2010"/>
      <c r="B40" s="2010"/>
      <c r="C40" s="1663" t="str">
        <f>F!C40</f>
        <v xml:space="preserve">   B2. Not B1.  The less prevalent height class is mostly located apart from the prevalent one, in separate zones or clumps, or is completely absent</v>
      </c>
      <c r="D40" s="291">
        <f>F!D40</f>
        <v>0</v>
      </c>
      <c r="E40" s="244">
        <v>0</v>
      </c>
      <c r="F40" s="244">
        <f>D40*E40</f>
        <v>0</v>
      </c>
      <c r="G40" s="237"/>
      <c r="H40" s="1882"/>
      <c r="I40" s="2010"/>
    </row>
    <row r="41" spans="1:66" ht="45" customHeight="1" thickBot="1" x14ac:dyDescent="0.25">
      <c r="A41" s="1992" t="str">
        <f>F!A41</f>
        <v>F6</v>
      </c>
      <c r="B41" s="2132" t="str">
        <f>F!B41</f>
        <v>Downed Wood</v>
      </c>
      <c r="C41" s="90" t="str">
        <f>F!C41</f>
        <v>If trees taller than 3 m comprise &lt;5% of the vegetative cover, SKIP to F10 (Sphagnum Moss Extent). Otherwise, answer this: The number of downed wood pieces longer than 2 m and with diameter &gt;5 cm, and not persistently submerged, is:</v>
      </c>
      <c r="D41" s="372"/>
      <c r="E41" s="376"/>
      <c r="F41" s="234"/>
      <c r="G41" s="232" t="str">
        <f>IF((SUM(F!D19:D20)=0),"", MAX(F42:F43))</f>
        <v/>
      </c>
      <c r="H41" s="1910" t="s">
        <v>120</v>
      </c>
      <c r="I41" s="2180" t="s">
        <v>1181</v>
      </c>
    </row>
    <row r="42" spans="1:66" ht="15" customHeight="1" x14ac:dyDescent="0.2">
      <c r="A42" s="1991"/>
      <c r="B42" s="2133"/>
      <c r="C42" s="426" t="str">
        <f>F!C42</f>
        <v>Several (&gt;5 if AA is &gt;5 hectares, less for smaller AAs).</v>
      </c>
      <c r="D42" s="180">
        <f>F!D42</f>
        <v>0</v>
      </c>
      <c r="E42" s="377">
        <v>1</v>
      </c>
      <c r="F42" s="377">
        <f>D42*E42</f>
        <v>0</v>
      </c>
      <c r="G42" s="235"/>
      <c r="H42" s="1881"/>
      <c r="I42" s="2175"/>
    </row>
    <row r="43" spans="1:66" ht="15" customHeight="1" thickBot="1" x14ac:dyDescent="0.25">
      <c r="A43" s="1993"/>
      <c r="B43" s="2140"/>
      <c r="C43" s="82" t="str">
        <f>F!C43</f>
        <v>Few or none that meet these criteria.</v>
      </c>
      <c r="D43" s="81">
        <f>F!D43</f>
        <v>0</v>
      </c>
      <c r="E43" s="244">
        <v>0</v>
      </c>
      <c r="F43" s="244">
        <f>D43*E43</f>
        <v>0</v>
      </c>
      <c r="G43" s="237"/>
      <c r="H43" s="1882"/>
      <c r="I43" s="2179"/>
    </row>
    <row r="44" spans="1:66" s="17" customFormat="1" ht="60" customHeight="1" thickBot="1" x14ac:dyDescent="0.25">
      <c r="A44" s="1992" t="str">
        <f>F!A69</f>
        <v>F12</v>
      </c>
      <c r="B44" s="2132" t="str">
        <f>F!B69</f>
        <v>Ground Irregularity</v>
      </c>
      <c r="C44" s="90" t="str">
        <f>F!C69</f>
        <v>Consider the parts of the AA that lack surface water at some time of the year.  The number of hummocks, small pits, raised mounds, upturned trees, animal burrows, gullies, natural levees, microdepressions, and other areas of peat or mineral soil that are raised or depressed &gt;10 cm compared to most of the area immediately surrounding them is:</v>
      </c>
      <c r="D44" s="372"/>
      <c r="E44" s="376"/>
      <c r="F44" s="234"/>
      <c r="G44" s="232">
        <f>MAX(F45:F47)/MAX(E45:E47)</f>
        <v>0</v>
      </c>
      <c r="H44" s="1910" t="s">
        <v>121</v>
      </c>
      <c r="I44" s="2180" t="s">
        <v>1100</v>
      </c>
      <c r="J44" s="144"/>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20"/>
    </row>
    <row r="45" spans="1:66" s="17" customFormat="1" ht="25.5" x14ac:dyDescent="0.2">
      <c r="A45" s="2035"/>
      <c r="B45" s="2148"/>
      <c r="C45" s="426" t="str">
        <f>F!C70</f>
        <v xml:space="preserve">Few or none (minimal microtopography; &lt;1% of the land has such features, or entire site is always water-covered). </v>
      </c>
      <c r="D45" s="354">
        <f>F!D70</f>
        <v>0</v>
      </c>
      <c r="E45" s="435">
        <v>0</v>
      </c>
      <c r="F45" s="377">
        <f>D45*E45</f>
        <v>0</v>
      </c>
      <c r="G45" s="235"/>
      <c r="H45" s="1881"/>
      <c r="I45" s="2175"/>
      <c r="J45" s="144"/>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20"/>
    </row>
    <row r="46" spans="1:66" s="17" customFormat="1" ht="15" customHeight="1" x14ac:dyDescent="0.2">
      <c r="A46" s="2035"/>
      <c r="B46" s="2148"/>
      <c r="C46" s="362" t="str">
        <f>F!C71</f>
        <v>Intermediate.</v>
      </c>
      <c r="D46" s="354">
        <f>F!D71</f>
        <v>0</v>
      </c>
      <c r="E46" s="377">
        <v>1</v>
      </c>
      <c r="F46" s="377">
        <f>D46*E46</f>
        <v>0</v>
      </c>
      <c r="G46" s="236"/>
      <c r="H46" s="1881"/>
      <c r="I46" s="2175"/>
      <c r="J46" s="144"/>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20"/>
    </row>
    <row r="47" spans="1:66" s="17" customFormat="1" ht="15" customHeight="1" thickBot="1" x14ac:dyDescent="0.25">
      <c r="A47" s="2037"/>
      <c r="B47" s="2149"/>
      <c r="C47" s="82" t="str">
        <f>F!C72</f>
        <v>Several (extensive micro-topography).</v>
      </c>
      <c r="D47" s="94">
        <f>F!D72</f>
        <v>0</v>
      </c>
      <c r="E47" s="244">
        <v>2</v>
      </c>
      <c r="F47" s="244">
        <f>D47*E47</f>
        <v>0</v>
      </c>
      <c r="G47" s="237"/>
      <c r="H47" s="1882"/>
      <c r="I47" s="2179"/>
      <c r="J47" s="144"/>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20"/>
    </row>
    <row r="48" spans="1:66" s="110" customFormat="1" ht="39" thickBot="1" x14ac:dyDescent="0.25">
      <c r="A48" s="1991" t="str">
        <f>F!A121</f>
        <v>F22</v>
      </c>
      <c r="B48" s="2009" t="str">
        <f>F!B121</f>
        <v>% Never With Surface Water</v>
      </c>
      <c r="C48" s="877" t="str">
        <f>F!C121</f>
        <v>The percentage of the AA that never contains surface water during an average year (that is, except perhaps for a few hours after snowmelt or rainstorms), but which is still a wetland, is:</v>
      </c>
      <c r="D48" s="736"/>
      <c r="E48" s="736"/>
      <c r="F48" s="271"/>
      <c r="G48" s="231">
        <f>MAX(F49:F53)/MAX(E49:E53)</f>
        <v>0</v>
      </c>
      <c r="H48" s="1911" t="s">
        <v>285</v>
      </c>
      <c r="I48" s="2009" t="s">
        <v>62</v>
      </c>
      <c r="J48" s="141"/>
    </row>
    <row r="49" spans="1:10" s="110" customFormat="1" ht="38.25" x14ac:dyDescent="0.2">
      <c r="A49" s="1991"/>
      <c r="B49" s="2009"/>
      <c r="C49" s="887" t="str">
        <f>F!C122</f>
        <v>&lt;0.01 hectare (about 10 m on a side) and &lt;1% of the AA never has surface water.  In other words, all or nearly all of the AA is covered by water permanently or at least seasonally.</v>
      </c>
      <c r="D49" s="189">
        <f>F!D122</f>
        <v>0</v>
      </c>
      <c r="E49" s="241">
        <v>5</v>
      </c>
      <c r="F49" s="241">
        <f>D49*E49</f>
        <v>0</v>
      </c>
      <c r="G49" s="257"/>
      <c r="H49" s="1911"/>
      <c r="I49" s="2009"/>
      <c r="J49" s="141"/>
    </row>
    <row r="50" spans="1:10" s="110" customFormat="1" ht="15" customHeight="1" x14ac:dyDescent="0.2">
      <c r="A50" s="1991"/>
      <c r="B50" s="2009"/>
      <c r="C50" s="887" t="str">
        <f>F!C123</f>
        <v>1-25% of the AA never contains surface water.</v>
      </c>
      <c r="D50" s="189">
        <f>F!D123</f>
        <v>0</v>
      </c>
      <c r="E50" s="241">
        <v>6</v>
      </c>
      <c r="F50" s="241">
        <f>D50*E50</f>
        <v>0</v>
      </c>
      <c r="G50" s="257"/>
      <c r="H50" s="1911"/>
      <c r="I50" s="2009"/>
      <c r="J50" s="141"/>
    </row>
    <row r="51" spans="1:10" s="110" customFormat="1" ht="15" customHeight="1" x14ac:dyDescent="0.2">
      <c r="A51" s="1991"/>
      <c r="B51" s="2009"/>
      <c r="C51" s="887" t="str">
        <f>F!C124</f>
        <v>25-50% of the AA never contains surface water.</v>
      </c>
      <c r="D51" s="189">
        <f>F!D124</f>
        <v>0</v>
      </c>
      <c r="E51" s="241">
        <v>4</v>
      </c>
      <c r="F51" s="241">
        <f>D51*E51</f>
        <v>0</v>
      </c>
      <c r="G51" s="257"/>
      <c r="H51" s="1911"/>
      <c r="I51" s="2009"/>
      <c r="J51" s="141"/>
    </row>
    <row r="52" spans="1:10" s="110" customFormat="1" ht="15" customHeight="1" x14ac:dyDescent="0.2">
      <c r="A52" s="1991"/>
      <c r="B52" s="2009"/>
      <c r="C52" s="887" t="str">
        <f>F!C125</f>
        <v>50-99% of the AA never contains surface water.</v>
      </c>
      <c r="D52" s="189">
        <f>F!D125</f>
        <v>0</v>
      </c>
      <c r="E52" s="241">
        <v>3</v>
      </c>
      <c r="F52" s="241">
        <f>D52*E52</f>
        <v>0</v>
      </c>
      <c r="G52" s="257"/>
      <c r="H52" s="1911"/>
      <c r="I52" s="2009"/>
      <c r="J52" s="141"/>
    </row>
    <row r="53" spans="1:10" s="110" customFormat="1" ht="39" thickBot="1" x14ac:dyDescent="0.25">
      <c r="A53" s="1991"/>
      <c r="B53" s="2009"/>
      <c r="C53" s="887" t="str">
        <f>F!C126</f>
        <v>&gt;99% of the AA never contains surface water, except perhaps for water flowing in channels and/or in pools that occupy &lt;1% of the AA. SKIP to F48 (Channel Connection &amp; Outflow Duration).</v>
      </c>
      <c r="D53" s="189">
        <f>F!D126</f>
        <v>0</v>
      </c>
      <c r="E53" s="241">
        <v>2</v>
      </c>
      <c r="F53" s="241">
        <f>D53*E53</f>
        <v>0</v>
      </c>
      <c r="G53" s="257"/>
      <c r="H53" s="1911"/>
      <c r="I53" s="2009"/>
      <c r="J53" s="141"/>
    </row>
    <row r="54" spans="1:10" ht="30" customHeight="1" thickBot="1" x14ac:dyDescent="0.25">
      <c r="A54" s="1992" t="str">
        <f>F!A148</f>
        <v>F28</v>
      </c>
      <c r="B54" s="2132" t="str">
        <f>F!B148</f>
        <v>Annual Water Fluctuation Range</v>
      </c>
      <c r="C54" s="90" t="str">
        <f>F!C148</f>
        <v>The annual fluctuation in surface water level within most of the parts of the AA that contain surface water is:</v>
      </c>
      <c r="D54" s="372"/>
      <c r="E54" s="376"/>
      <c r="F54" s="234"/>
      <c r="G54" s="232">
        <f>IF((AllSat1&gt;0),"",IF((NoSeasonal=1),"",MAX(F55:F59)/MAX(E55:E59)))</f>
        <v>0</v>
      </c>
      <c r="H54" s="1910" t="s">
        <v>114</v>
      </c>
      <c r="I54" s="2132" t="s">
        <v>1176</v>
      </c>
    </row>
    <row r="55" spans="1:10" ht="15" customHeight="1" x14ac:dyDescent="0.2">
      <c r="A55" s="2035"/>
      <c r="B55" s="2148"/>
      <c r="C55" s="888" t="str">
        <f>F!C149</f>
        <v xml:space="preserve">&lt;10 cm change (stable or nearly so) </v>
      </c>
      <c r="D55" s="180">
        <f>F!D149</f>
        <v>0</v>
      </c>
      <c r="E55" s="377">
        <v>5</v>
      </c>
      <c r="F55" s="377">
        <f>D55*E55</f>
        <v>0</v>
      </c>
      <c r="G55" s="235"/>
      <c r="H55" s="1881"/>
      <c r="I55" s="2133"/>
    </row>
    <row r="56" spans="1:10" ht="15" customHeight="1" x14ac:dyDescent="0.2">
      <c r="A56" s="2035"/>
      <c r="B56" s="2148"/>
      <c r="C56" s="889" t="str">
        <f>F!C150</f>
        <v>10 cm - 50 cm change</v>
      </c>
      <c r="D56" s="359">
        <f>F!D150</f>
        <v>0</v>
      </c>
      <c r="E56" s="377">
        <v>4</v>
      </c>
      <c r="F56" s="377">
        <f>D56*E56</f>
        <v>0</v>
      </c>
      <c r="G56" s="236"/>
      <c r="H56" s="1881"/>
      <c r="I56" s="2133"/>
    </row>
    <row r="57" spans="1:10" ht="15" customHeight="1" x14ac:dyDescent="0.2">
      <c r="A57" s="2035"/>
      <c r="B57" s="2148"/>
      <c r="C57" s="889" t="str">
        <f>F!C151</f>
        <v>0.5 - 1 m change</v>
      </c>
      <c r="D57" s="359">
        <f>F!D151</f>
        <v>0</v>
      </c>
      <c r="E57" s="722">
        <v>3</v>
      </c>
      <c r="F57" s="722">
        <f>D57*E57</f>
        <v>0</v>
      </c>
      <c r="G57" s="760"/>
      <c r="H57" s="1881"/>
      <c r="I57" s="2133"/>
    </row>
    <row r="58" spans="1:10" ht="15" customHeight="1" x14ac:dyDescent="0.2">
      <c r="A58" s="2035"/>
      <c r="B58" s="2148"/>
      <c r="C58" s="889" t="str">
        <f>F!C152</f>
        <v>1-2 m change</v>
      </c>
      <c r="D58" s="359">
        <f>F!D152</f>
        <v>0</v>
      </c>
      <c r="E58" s="377">
        <v>2</v>
      </c>
      <c r="F58" s="377">
        <f>D58*E58</f>
        <v>0</v>
      </c>
      <c r="G58" s="236"/>
      <c r="H58" s="1881"/>
      <c r="I58" s="2133"/>
    </row>
    <row r="59" spans="1:10" ht="15" customHeight="1" thickBot="1" x14ac:dyDescent="0.25">
      <c r="A59" s="2037"/>
      <c r="B59" s="2149"/>
      <c r="C59" s="82" t="str">
        <f>F!C153</f>
        <v>&gt;2 m change</v>
      </c>
      <c r="D59" s="81">
        <f>F!D153</f>
        <v>0</v>
      </c>
      <c r="E59" s="244">
        <v>1</v>
      </c>
      <c r="F59" s="244">
        <f>D59*E59</f>
        <v>0</v>
      </c>
      <c r="G59" s="237"/>
      <c r="H59" s="1882"/>
      <c r="I59" s="2140"/>
    </row>
    <row r="60" spans="1:10" s="110" customFormat="1" ht="45" customHeight="1" thickBot="1" x14ac:dyDescent="0.25">
      <c r="A60" s="1980" t="str">
        <f>F!A165</f>
        <v>F31</v>
      </c>
      <c r="B60" s="2188" t="str">
        <f>F!B165</f>
        <v xml:space="preserve">% of Water Ponded vs. Flowing </v>
      </c>
      <c r="C60" s="877" t="str">
        <f>F!C165</f>
        <v>The percentage of the AA's surface water that is ponded (stagnant, or flows so slowly that fine sediment is not held in suspension) during most of the time it is present during the growing season, and which is either open or shaded by emergent vegetation, is:</v>
      </c>
      <c r="D60" s="437"/>
      <c r="E60" s="239"/>
      <c r="F60" s="259"/>
      <c r="G60" s="219">
        <f>IF((AllSat1&gt;0),"", IF((SmallAA=1),"", MAX(F61:F66)/MAX(E61:E66)))</f>
        <v>0</v>
      </c>
      <c r="H60" s="1867" t="s">
        <v>116</v>
      </c>
      <c r="I60" s="2133" t="s">
        <v>1860</v>
      </c>
      <c r="J60" s="141"/>
    </row>
    <row r="61" spans="1:10" s="110" customFormat="1" ht="27" customHeight="1" x14ac:dyDescent="0.2">
      <c r="A61" s="1991"/>
      <c r="B61" s="2133"/>
      <c r="C61" s="888" t="str">
        <f>F!C166</f>
        <v>None, or &lt;0.01 hectare and &lt;1% of the AA. Nearly all water is flowing.  Enter "1" and SKIP to F43 (pH measurement).</v>
      </c>
      <c r="D61" s="91">
        <f>F!D166</f>
        <v>0</v>
      </c>
      <c r="E61" s="241">
        <v>0</v>
      </c>
      <c r="F61" s="241">
        <f t="shared" ref="F61:F66" si="3">D61*E61</f>
        <v>0</v>
      </c>
      <c r="G61" s="257"/>
      <c r="H61" s="1911"/>
      <c r="I61" s="2133"/>
      <c r="J61" s="141"/>
    </row>
    <row r="62" spans="1:10" s="110" customFormat="1" ht="15" customHeight="1" x14ac:dyDescent="0.2">
      <c r="A62" s="1991"/>
      <c r="B62" s="2133"/>
      <c r="C62" s="889" t="str">
        <f>F!C167</f>
        <v>1-5% of the water.  The rest is flowing.</v>
      </c>
      <c r="D62" s="91">
        <f>F!D167</f>
        <v>0</v>
      </c>
      <c r="E62" s="241">
        <v>2</v>
      </c>
      <c r="F62" s="241">
        <f t="shared" si="3"/>
        <v>0</v>
      </c>
      <c r="G62" s="257"/>
      <c r="H62" s="1911"/>
      <c r="I62" s="2133"/>
      <c r="J62" s="141"/>
    </row>
    <row r="63" spans="1:10" s="110" customFormat="1" ht="15" customHeight="1" x14ac:dyDescent="0.2">
      <c r="A63" s="1991"/>
      <c r="B63" s="2133"/>
      <c r="C63" s="889" t="str">
        <f>F!C168</f>
        <v>5-30% of the water.</v>
      </c>
      <c r="D63" s="91">
        <f>F!D168</f>
        <v>0</v>
      </c>
      <c r="E63" s="241">
        <v>3</v>
      </c>
      <c r="F63" s="241">
        <f t="shared" si="3"/>
        <v>0</v>
      </c>
      <c r="G63" s="257"/>
      <c r="H63" s="1911"/>
      <c r="I63" s="2133"/>
      <c r="J63" s="141"/>
    </row>
    <row r="64" spans="1:10" s="110" customFormat="1" ht="15" customHeight="1" x14ac:dyDescent="0.2">
      <c r="A64" s="1991"/>
      <c r="B64" s="2133"/>
      <c r="C64" s="889" t="str">
        <f>F!C169</f>
        <v>30-70% of the water.</v>
      </c>
      <c r="D64" s="91">
        <f>F!D169</f>
        <v>0</v>
      </c>
      <c r="E64" s="241">
        <v>4</v>
      </c>
      <c r="F64" s="241">
        <f t="shared" si="3"/>
        <v>0</v>
      </c>
      <c r="G64" s="433"/>
      <c r="H64" s="1911"/>
      <c r="I64" s="2133"/>
      <c r="J64" s="141"/>
    </row>
    <row r="65" spans="1:66" s="110" customFormat="1" ht="15" customHeight="1" x14ac:dyDescent="0.2">
      <c r="A65" s="1991"/>
      <c r="B65" s="2133"/>
      <c r="C65" s="889" t="str">
        <f>F!C170</f>
        <v>70-99% of the water.</v>
      </c>
      <c r="D65" s="91">
        <f>F!D170</f>
        <v>0</v>
      </c>
      <c r="E65" s="241">
        <v>5</v>
      </c>
      <c r="F65" s="241">
        <f t="shared" si="3"/>
        <v>0</v>
      </c>
      <c r="G65" s="433"/>
      <c r="H65" s="1911"/>
      <c r="I65" s="2133"/>
      <c r="J65" s="141"/>
    </row>
    <row r="66" spans="1:66" s="110" customFormat="1" ht="15" customHeight="1" thickBot="1" x14ac:dyDescent="0.25">
      <c r="A66" s="1991"/>
      <c r="B66" s="2140"/>
      <c r="C66" s="747" t="str">
        <f>F!C171</f>
        <v>&gt;99% of the water.  Little or no visibly flowing water within the AA.</v>
      </c>
      <c r="D66" s="370">
        <f>F!D171</f>
        <v>0</v>
      </c>
      <c r="E66" s="380">
        <v>6</v>
      </c>
      <c r="F66" s="380">
        <f t="shared" si="3"/>
        <v>0</v>
      </c>
      <c r="G66" s="433"/>
      <c r="H66" s="1978"/>
      <c r="I66" s="2133"/>
      <c r="J66" s="141"/>
    </row>
    <row r="67" spans="1:66" ht="39" thickBot="1" x14ac:dyDescent="0.25">
      <c r="A67" s="1979" t="str">
        <f>F!A173</f>
        <v>F33</v>
      </c>
      <c r="B67" s="2008" t="str">
        <f>F!B173</f>
        <v xml:space="preserve">% of Ponded Water That Is Open </v>
      </c>
      <c r="C67" s="90" t="str">
        <f>F!C173</f>
        <v>In ducks-eye aerial view, the percentage of the ponded water that is open (lacking emergent vegetation during most of the growing season, and unhidden by a forest or shrub canopy) is:</v>
      </c>
      <c r="D67" s="372"/>
      <c r="E67" s="376"/>
      <c r="F67" s="234"/>
      <c r="G67" s="232">
        <f>IF((AllSat1&gt;0),"",IF((NoPonded=1),"", IF((SmallAA=1),"", MAX(F68:F73)/MAX(E68:E73))))</f>
        <v>0</v>
      </c>
      <c r="H67" s="1910" t="s">
        <v>803</v>
      </c>
      <c r="I67" s="2132" t="s">
        <v>1327</v>
      </c>
    </row>
    <row r="68" spans="1:66" ht="27" customHeight="1" x14ac:dyDescent="0.2">
      <c r="A68" s="1980"/>
      <c r="B68" s="2009"/>
      <c r="C68" s="360" t="str">
        <f>F!C174</f>
        <v>None, or &lt;1% of the AA and largest pool occupies &lt;0.01 hectares.  Enter "1" and SKIP to F41 (Floating Algae &amp; Duckweed).</v>
      </c>
      <c r="D68" s="187">
        <f>F!D174</f>
        <v>0</v>
      </c>
      <c r="E68" s="435">
        <v>5</v>
      </c>
      <c r="F68" s="377">
        <f t="shared" ref="F68:F73" si="4">D68*E68</f>
        <v>0</v>
      </c>
      <c r="G68" s="235"/>
      <c r="H68" s="1881"/>
      <c r="I68" s="2133"/>
    </row>
    <row r="69" spans="1:66" ht="15" customHeight="1" x14ac:dyDescent="0.2">
      <c r="A69" s="1980"/>
      <c r="B69" s="2009"/>
      <c r="C69" s="361" t="str">
        <f>F!C175</f>
        <v>1-5% of the ponded water.  Enter "1" and SKIP to F41.</v>
      </c>
      <c r="D69" s="370">
        <f>F!D175</f>
        <v>0</v>
      </c>
      <c r="E69" s="435">
        <v>4</v>
      </c>
      <c r="F69" s="377">
        <f t="shared" si="4"/>
        <v>0</v>
      </c>
      <c r="G69" s="236"/>
      <c r="H69" s="1881"/>
      <c r="I69" s="2133"/>
    </row>
    <row r="70" spans="1:66" ht="15" customHeight="1" x14ac:dyDescent="0.2">
      <c r="A70" s="1980"/>
      <c r="B70" s="2009"/>
      <c r="C70" s="361" t="str">
        <f>F!C176</f>
        <v>5-30% of the ponded water.</v>
      </c>
      <c r="D70" s="370">
        <f>F!D176</f>
        <v>0</v>
      </c>
      <c r="E70" s="435">
        <v>3</v>
      </c>
      <c r="F70" s="377">
        <f t="shared" si="4"/>
        <v>0</v>
      </c>
      <c r="G70" s="236"/>
      <c r="H70" s="1881"/>
      <c r="I70" s="2133"/>
    </row>
    <row r="71" spans="1:66" ht="15" customHeight="1" x14ac:dyDescent="0.2">
      <c r="A71" s="1980"/>
      <c r="B71" s="2009"/>
      <c r="C71" s="361" t="str">
        <f>F!C177</f>
        <v>30-70% of the ponded water.</v>
      </c>
      <c r="D71" s="370">
        <f>F!D177</f>
        <v>0</v>
      </c>
      <c r="E71" s="435">
        <v>2</v>
      </c>
      <c r="F71" s="377">
        <f t="shared" si="4"/>
        <v>0</v>
      </c>
      <c r="G71" s="236"/>
      <c r="H71" s="1881"/>
      <c r="I71" s="2133"/>
    </row>
    <row r="72" spans="1:66" ht="15" customHeight="1" x14ac:dyDescent="0.2">
      <c r="A72" s="1980"/>
      <c r="B72" s="2009"/>
      <c r="C72" s="361" t="str">
        <f>F!C178</f>
        <v>70-99% of the ponded water.</v>
      </c>
      <c r="D72" s="370">
        <f>F!D178</f>
        <v>0</v>
      </c>
      <c r="E72" s="435">
        <v>1</v>
      </c>
      <c r="F72" s="377">
        <f t="shared" si="4"/>
        <v>0</v>
      </c>
      <c r="G72" s="367"/>
      <c r="H72" s="1881"/>
      <c r="I72" s="2133"/>
    </row>
    <row r="73" spans="1:66" ht="15" customHeight="1" thickBot="1" x14ac:dyDescent="0.25">
      <c r="A73" s="2021"/>
      <c r="B73" s="2010"/>
      <c r="C73" s="82" t="str">
        <f>F!C179</f>
        <v xml:space="preserve">100% of the ponded water. </v>
      </c>
      <c r="D73" s="94">
        <f>F!D179</f>
        <v>0</v>
      </c>
      <c r="E73" s="263">
        <v>0</v>
      </c>
      <c r="F73" s="244">
        <f t="shared" si="4"/>
        <v>0</v>
      </c>
      <c r="G73" s="237"/>
      <c r="H73" s="1882"/>
      <c r="I73" s="2140"/>
    </row>
    <row r="74" spans="1:66" s="12" customFormat="1" ht="39" thickBot="1" x14ac:dyDescent="0.25">
      <c r="A74" s="1980" t="str">
        <f>F!A180</f>
        <v>F34</v>
      </c>
      <c r="B74" s="2153" t="str">
        <f>F!B180</f>
        <v>Predominant Width of Vegetated Zone within Wetland</v>
      </c>
      <c r="C74" s="446" t="str">
        <f>F!C180</f>
        <v>At the time during the growing season when the AA's water level is lowest, the average width of vegetated area in the AA that separates adjoining uplands from open water within the AA is:</v>
      </c>
      <c r="D74" s="504"/>
      <c r="E74" s="505"/>
      <c r="F74" s="235"/>
      <c r="G74" s="231" t="str">
        <f>IF((AllSat1&gt;0),"", IF((OpenW=0),"", IF((SmallAA=1),"", MAX(F75:F80)/MAX(E75:E80))))</f>
        <v/>
      </c>
      <c r="H74" s="1910" t="s">
        <v>118</v>
      </c>
      <c r="I74" s="2009" t="s">
        <v>1177</v>
      </c>
      <c r="J74" s="144"/>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row>
    <row r="75" spans="1:66" s="12" customFormat="1" ht="15" customHeight="1" x14ac:dyDescent="0.2">
      <c r="A75" s="1980"/>
      <c r="B75" s="2153"/>
      <c r="C75" s="447" t="str">
        <f>F!C181</f>
        <v>&lt;1 m</v>
      </c>
      <c r="D75" s="247">
        <f>F!D181</f>
        <v>0</v>
      </c>
      <c r="E75" s="206">
        <v>0</v>
      </c>
      <c r="F75" s="241">
        <f t="shared" ref="F75:F80" si="5">D75*E75</f>
        <v>0</v>
      </c>
      <c r="G75" s="235"/>
      <c r="H75" s="1881"/>
      <c r="I75" s="2133"/>
      <c r="J75" s="144"/>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row>
    <row r="76" spans="1:66" s="12" customFormat="1" ht="15" customHeight="1" x14ac:dyDescent="0.2">
      <c r="A76" s="1980"/>
      <c r="B76" s="2153"/>
      <c r="C76" s="448" t="str">
        <f>F!C182</f>
        <v>1 - 9 m</v>
      </c>
      <c r="D76" s="247">
        <f>F!D182</f>
        <v>0</v>
      </c>
      <c r="E76" s="206">
        <v>1</v>
      </c>
      <c r="F76" s="241">
        <f t="shared" si="5"/>
        <v>0</v>
      </c>
      <c r="G76" s="236"/>
      <c r="H76" s="1881"/>
      <c r="I76" s="2133"/>
      <c r="J76" s="144"/>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row>
    <row r="77" spans="1:66" s="12" customFormat="1" ht="15" customHeight="1" x14ac:dyDescent="0.2">
      <c r="A77" s="1980"/>
      <c r="B77" s="2153"/>
      <c r="C77" s="448" t="str">
        <f>F!C183</f>
        <v>10 - 29 m</v>
      </c>
      <c r="D77" s="247">
        <f>F!D183</f>
        <v>0</v>
      </c>
      <c r="E77" s="206">
        <v>2</v>
      </c>
      <c r="F77" s="241">
        <f t="shared" si="5"/>
        <v>0</v>
      </c>
      <c r="G77" s="236"/>
      <c r="H77" s="1881"/>
      <c r="I77" s="2133"/>
      <c r="J77" s="144"/>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row>
    <row r="78" spans="1:66" s="12" customFormat="1" ht="15" customHeight="1" x14ac:dyDescent="0.2">
      <c r="A78" s="1980"/>
      <c r="B78" s="2153"/>
      <c r="C78" s="448" t="str">
        <f>F!C184</f>
        <v>30 - 49 m</v>
      </c>
      <c r="D78" s="247">
        <f>F!D184</f>
        <v>0</v>
      </c>
      <c r="E78" s="206">
        <v>3</v>
      </c>
      <c r="F78" s="241">
        <f t="shared" si="5"/>
        <v>0</v>
      </c>
      <c r="G78" s="367"/>
      <c r="H78" s="1881"/>
      <c r="I78" s="2133"/>
      <c r="J78" s="144"/>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row>
    <row r="79" spans="1:66" s="12" customFormat="1" ht="15" customHeight="1" x14ac:dyDescent="0.2">
      <c r="A79" s="1980"/>
      <c r="B79" s="2153"/>
      <c r="C79" s="448" t="str">
        <f>F!C185</f>
        <v>50 - 100 m</v>
      </c>
      <c r="D79" s="247">
        <f>F!D185</f>
        <v>0</v>
      </c>
      <c r="E79" s="748">
        <v>4</v>
      </c>
      <c r="F79" s="380">
        <f t="shared" si="5"/>
        <v>0</v>
      </c>
      <c r="G79" s="744"/>
      <c r="H79" s="1881"/>
      <c r="I79" s="2133"/>
      <c r="J79" s="144"/>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row>
    <row r="80" spans="1:66" s="12" customFormat="1" ht="15" customHeight="1" thickBot="1" x14ac:dyDescent="0.25">
      <c r="A80" s="1980"/>
      <c r="B80" s="2153"/>
      <c r="C80" s="448" t="str">
        <f>F!C186</f>
        <v>&gt; 100 m</v>
      </c>
      <c r="D80" s="383">
        <f>F!D186</f>
        <v>0</v>
      </c>
      <c r="E80" s="506">
        <v>5</v>
      </c>
      <c r="F80" s="380">
        <f t="shared" si="5"/>
        <v>0</v>
      </c>
      <c r="G80" s="367"/>
      <c r="H80" s="1882"/>
      <c r="I80" s="2133"/>
      <c r="J80" s="144"/>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row>
    <row r="81" spans="1:66" s="12" customFormat="1" ht="30" customHeight="1" thickBot="1" x14ac:dyDescent="0.25">
      <c r="A81" s="1979" t="str">
        <f>F!A199</f>
        <v>F37</v>
      </c>
      <c r="B81" s="2152" t="str">
        <f>F!B199</f>
        <v>Interspersion of Robust Emergents &amp; Open Water</v>
      </c>
      <c r="C81" s="90" t="str">
        <f>F!C199</f>
        <v>During most of the part of the growing season when water is present, the spatial pattern of robust herbaceous vegetation (e.g., cattail, tall bulrush, buckbean) is mostly:</v>
      </c>
      <c r="D81" s="274"/>
      <c r="E81" s="287"/>
      <c r="F81" s="288"/>
      <c r="G81" s="232">
        <f>IF((AllSat1&gt;0),"",IF((NoPonded=1),"",IF((NoOpenPonded+NoOpenPonded1&gt;0),"",IF((AllOpenPond=1),"", IF((SmallAA=1),"", MAX(F82:F84)/MAX(E82:E84))))))</f>
        <v>0</v>
      </c>
      <c r="H81" s="1910" t="s">
        <v>117</v>
      </c>
      <c r="I81" s="2008" t="s">
        <v>1179</v>
      </c>
      <c r="J81" s="144"/>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row>
    <row r="82" spans="1:66" s="12" customFormat="1" ht="27" customHeight="1" x14ac:dyDescent="0.2">
      <c r="A82" s="1991"/>
      <c r="B82" s="2009"/>
      <c r="C82" s="426" t="str">
        <f>F!C200</f>
        <v>Scattered.  More than 30% of such vegetation forms small islands or corridors surrounded by water.</v>
      </c>
      <c r="D82" s="180">
        <f>F!D200</f>
        <v>0</v>
      </c>
      <c r="E82" s="206">
        <v>3</v>
      </c>
      <c r="F82" s="242">
        <f>D82*E82</f>
        <v>0</v>
      </c>
      <c r="G82" s="235"/>
      <c r="H82" s="1881"/>
      <c r="I82" s="2009"/>
      <c r="J82" s="144"/>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row>
    <row r="83" spans="1:66" s="12" customFormat="1" ht="15" customHeight="1" x14ac:dyDescent="0.2">
      <c r="A83" s="1991"/>
      <c r="B83" s="2009"/>
      <c r="C83" s="362" t="str">
        <f>F!C201</f>
        <v>Intermediate.</v>
      </c>
      <c r="D83" s="91">
        <f>F!D201</f>
        <v>0</v>
      </c>
      <c r="E83" s="206">
        <v>2</v>
      </c>
      <c r="F83" s="242">
        <f>D83*E83</f>
        <v>0</v>
      </c>
      <c r="G83" s="235"/>
      <c r="H83" s="1881"/>
      <c r="I83" s="2009"/>
      <c r="J83" s="144"/>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row>
    <row r="84" spans="1:66" s="12" customFormat="1" ht="27" customHeight="1" thickBot="1" x14ac:dyDescent="0.25">
      <c r="A84" s="1991"/>
      <c r="B84" s="2009"/>
      <c r="C84" s="747" t="str">
        <f>F!C202</f>
        <v>Clumped. More than 70% of such vegetation is in bands along the wetland perimeter or is clumped at one or a few sides of the surface water area.</v>
      </c>
      <c r="D84" s="370">
        <f>F!D202</f>
        <v>0</v>
      </c>
      <c r="E84" s="506">
        <v>1</v>
      </c>
      <c r="F84" s="380">
        <f>D84*E84</f>
        <v>0</v>
      </c>
      <c r="G84" s="275"/>
      <c r="H84" s="1881"/>
      <c r="I84" s="2009"/>
      <c r="J84" s="144"/>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row>
    <row r="85" spans="1:66" ht="45" customHeight="1" thickBot="1" x14ac:dyDescent="0.25">
      <c r="A85" s="1992" t="str">
        <f>F!A204</f>
        <v>F39</v>
      </c>
      <c r="B85" s="2132" t="str">
        <f>F!B204</f>
        <v>Non-vegetated Aquatic Cover</v>
      </c>
      <c r="C85" s="90" t="str">
        <f>F!C204</f>
        <v>During most of the growing season and in waters deeper than 0.5 m, the cover for fish, aquatic invertebrates, and/or amphibians that is provided NOT by living vegetation, but by accumulations of dead wood and undercut banks is:</v>
      </c>
      <c r="D85" s="372"/>
      <c r="E85" s="376"/>
      <c r="F85" s="234"/>
      <c r="G85" s="232" t="str">
        <f>IF((AllSat1&gt;0),"",IF((OpenW=0),"", IF((SmallAA=1),"", MAX(F86:F88)/MAX(E86:E88))))</f>
        <v/>
      </c>
      <c r="H85" s="1910" t="s">
        <v>115</v>
      </c>
      <c r="I85" s="2132" t="s">
        <v>1178</v>
      </c>
    </row>
    <row r="86" spans="1:66" ht="15" customHeight="1" x14ac:dyDescent="0.2">
      <c r="A86" s="2035"/>
      <c r="B86" s="2148"/>
      <c r="C86" s="426" t="str">
        <f>F!C205</f>
        <v>Little or none</v>
      </c>
      <c r="D86" s="354">
        <f>F!D205</f>
        <v>0</v>
      </c>
      <c r="E86" s="377">
        <v>0</v>
      </c>
      <c r="F86" s="377">
        <f>D86*E86</f>
        <v>0</v>
      </c>
      <c r="G86" s="235"/>
      <c r="H86" s="1881"/>
      <c r="I86" s="2133"/>
    </row>
    <row r="87" spans="1:66" ht="15" customHeight="1" x14ac:dyDescent="0.2">
      <c r="A87" s="2035"/>
      <c r="B87" s="2148"/>
      <c r="C87" s="362" t="str">
        <f>F!C206</f>
        <v>Intermediate</v>
      </c>
      <c r="D87" s="354">
        <f>F!D206</f>
        <v>0</v>
      </c>
      <c r="E87" s="377">
        <v>1</v>
      </c>
      <c r="F87" s="377">
        <f>D87*E87</f>
        <v>0</v>
      </c>
      <c r="G87" s="275"/>
      <c r="H87" s="1881"/>
      <c r="I87" s="2133"/>
    </row>
    <row r="88" spans="1:66" ht="15" customHeight="1" thickBot="1" x14ac:dyDescent="0.25">
      <c r="A88" s="2037"/>
      <c r="B88" s="2149"/>
      <c r="C88" s="82" t="str">
        <f>F!C207</f>
        <v>Extensive</v>
      </c>
      <c r="D88" s="94">
        <f>F!D207</f>
        <v>0</v>
      </c>
      <c r="E88" s="244">
        <v>2</v>
      </c>
      <c r="F88" s="244">
        <f>D88*E88</f>
        <v>0</v>
      </c>
      <c r="G88" s="237"/>
      <c r="H88" s="1882"/>
      <c r="I88" s="2140"/>
    </row>
    <row r="89" spans="1:66" s="5" customFormat="1" ht="66" customHeight="1" thickBot="1" x14ac:dyDescent="0.25">
      <c r="A89" s="57" t="str">
        <f>F!A210</f>
        <v>F42</v>
      </c>
      <c r="B89" s="797" t="str">
        <f>F!B210</f>
        <v>Fish</v>
      </c>
      <c r="C89" s="1076" t="str">
        <f>F!C210</f>
        <v>Fish from connected waters can access at least part of the AA during one or more days annually, or are otherwise known to be present in the AA at least temporarily. If true, enter "1" in next column.  If untrue or unlikely, enter "0".</v>
      </c>
      <c r="D89" s="1077">
        <f>F!D210</f>
        <v>0</v>
      </c>
      <c r="E89" s="798"/>
      <c r="F89" s="798"/>
      <c r="G89" s="225">
        <f>IF((AllSat1&gt;0),"", IF((SmallAA=1),"", 1-D89))</f>
        <v>1</v>
      </c>
      <c r="H89" s="791" t="s">
        <v>500</v>
      </c>
      <c r="I89" s="797" t="s">
        <v>1099</v>
      </c>
      <c r="J89" s="151"/>
      <c r="K89" s="940"/>
      <c r="L89" s="940"/>
      <c r="M89" s="940"/>
      <c r="N89" s="940"/>
      <c r="O89" s="940"/>
      <c r="P89" s="940"/>
      <c r="Q89" s="940"/>
      <c r="R89" s="940"/>
      <c r="S89" s="940"/>
      <c r="T89" s="940"/>
      <c r="U89" s="940"/>
      <c r="V89" s="940"/>
      <c r="W89" s="940"/>
      <c r="X89" s="940"/>
      <c r="Y89" s="940"/>
      <c r="Z89" s="940"/>
      <c r="AA89" s="940"/>
      <c r="AB89" s="940"/>
      <c r="AC89" s="940"/>
      <c r="AD89" s="940"/>
      <c r="AE89" s="940"/>
      <c r="AF89" s="940"/>
      <c r="AG89" s="940"/>
      <c r="AH89" s="940"/>
      <c r="AI89" s="940"/>
      <c r="AJ89" s="940"/>
      <c r="AK89" s="940"/>
      <c r="AL89" s="940"/>
      <c r="AM89" s="940"/>
      <c r="AN89" s="940"/>
      <c r="AO89" s="940"/>
      <c r="AP89" s="940"/>
      <c r="AQ89" s="940"/>
      <c r="AR89" s="940"/>
      <c r="AS89" s="940"/>
      <c r="AT89" s="940"/>
      <c r="AU89" s="940"/>
      <c r="AV89" s="940"/>
      <c r="AW89" s="940"/>
      <c r="AX89" s="940"/>
      <c r="AY89" s="940"/>
      <c r="AZ89" s="940"/>
      <c r="BA89" s="940"/>
      <c r="BB89" s="940"/>
      <c r="BC89" s="940"/>
      <c r="BD89" s="940"/>
      <c r="BE89" s="940"/>
      <c r="BF89" s="940"/>
      <c r="BG89" s="940"/>
      <c r="BH89" s="940"/>
      <c r="BI89" s="940"/>
      <c r="BJ89" s="940"/>
      <c r="BK89" s="940"/>
      <c r="BL89" s="940"/>
      <c r="BM89" s="940"/>
      <c r="BN89" s="940"/>
    </row>
    <row r="90" spans="1:66" ht="21" customHeight="1" thickBot="1" x14ac:dyDescent="0.25">
      <c r="A90" s="1991" t="str">
        <f>F!A216</f>
        <v>F44</v>
      </c>
      <c r="B90" s="2008" t="str">
        <f>F!B216</f>
        <v>TDS and/or Conductivity</v>
      </c>
      <c r="C90" s="90" t="str">
        <f>F!C216</f>
        <v>The Total Dissolved Solids (TDS) and/or Conductivity in most of the AA's surface water:</v>
      </c>
      <c r="D90" s="801"/>
      <c r="E90" s="206"/>
      <c r="F90" s="259"/>
      <c r="G90" s="784">
        <f>IF((D91=1),"",IF((D92=1),0.2,IF((D93=1),0.6,MAX(G94,G95))))</f>
        <v>0</v>
      </c>
      <c r="H90" s="1881" t="s">
        <v>743</v>
      </c>
      <c r="I90" s="2141" t="s">
        <v>2430</v>
      </c>
    </row>
    <row r="91" spans="1:66" ht="27" customHeight="1" x14ac:dyDescent="0.2">
      <c r="A91" s="1991"/>
      <c r="B91" s="2009"/>
      <c r="C91" s="888" t="str">
        <f>F!C217</f>
        <v>was not measured because no surface water could be found during this visit. Enter "1" in column to the right.</v>
      </c>
      <c r="D91" s="733">
        <f>F!D217</f>
        <v>0</v>
      </c>
      <c r="E91" s="204"/>
      <c r="F91" s="241"/>
      <c r="G91" s="259"/>
      <c r="H91" s="1881"/>
      <c r="I91" s="2142"/>
    </row>
    <row r="92" spans="1:66" ht="31.9" customHeight="1" x14ac:dyDescent="0.2">
      <c r="A92" s="1991"/>
      <c r="B92" s="2009"/>
      <c r="C92" s="889" t="str">
        <f>F!C218</f>
        <v>was not measured, and plants that indicate saline conditions are absent or in trace amounts. Enter "1" in column to the right.</v>
      </c>
      <c r="D92" s="733">
        <f>F!D218</f>
        <v>0</v>
      </c>
      <c r="E92" s="748"/>
      <c r="F92" s="722"/>
      <c r="G92" s="259"/>
      <c r="H92" s="1881"/>
      <c r="I92" s="2142"/>
    </row>
    <row r="93" spans="1:66" ht="31.9" customHeight="1" thickBot="1" x14ac:dyDescent="0.25">
      <c r="A93" s="1991"/>
      <c r="B93" s="2009"/>
      <c r="C93" s="889" t="str">
        <f>F!C219</f>
        <v>was not measured, but plants that indicate saline conditions are present. Enter "1" in column to the right.</v>
      </c>
      <c r="D93" s="733">
        <f>F!D219</f>
        <v>0</v>
      </c>
      <c r="E93" s="748"/>
      <c r="F93" s="722"/>
      <c r="G93" s="259"/>
      <c r="H93" s="1881"/>
      <c r="I93" s="2142"/>
    </row>
    <row r="94" spans="1:66" ht="27" customHeight="1" thickBot="1" x14ac:dyDescent="0.25">
      <c r="A94" s="1991"/>
      <c r="B94" s="2009"/>
      <c r="C94" s="889" t="str">
        <f>F!C220</f>
        <v>TDS is: [enter the reading in ppm or mg/L in the column to the right if measured, or answer next row]:</v>
      </c>
      <c r="D94" s="733">
        <f>F!D220</f>
        <v>0</v>
      </c>
      <c r="E94" s="204"/>
      <c r="F94" s="241"/>
      <c r="G94" s="1263">
        <f>IF((D94&lt;10),0, IF((D94&gt;1000),0, D94/1000))</f>
        <v>0</v>
      </c>
      <c r="H94" s="1881"/>
      <c r="I94" s="2142"/>
    </row>
    <row r="95" spans="1:66" ht="15" customHeight="1" thickBot="1" x14ac:dyDescent="0.25">
      <c r="A95" s="1991"/>
      <c r="B95" s="2010"/>
      <c r="C95" s="747" t="str">
        <f>F!C221</f>
        <v>Conductivity is  [enter the reading in µS/cm in the column to the right]:</v>
      </c>
      <c r="D95" s="370">
        <f>F!D221</f>
        <v>0</v>
      </c>
      <c r="E95" s="305"/>
      <c r="F95" s="380"/>
      <c r="G95" s="1263">
        <f>IF((D95&lt;10),0,IF((D95&gt;1000),0,D95/1000))</f>
        <v>0</v>
      </c>
      <c r="H95" s="1881"/>
      <c r="I95" s="2182"/>
    </row>
    <row r="96" spans="1:66" s="5" customFormat="1" ht="21" customHeight="1" thickBot="1" x14ac:dyDescent="0.25">
      <c r="A96" s="1992" t="str">
        <f>F!A222</f>
        <v>F45</v>
      </c>
      <c r="B96" s="2008" t="str">
        <f>F!B222</f>
        <v>Beaver Probability</v>
      </c>
      <c r="C96" s="794" t="str">
        <f>F!C222</f>
        <v>Use of the AA by beaver during the past 5 years is (select most applicable ONE):</v>
      </c>
      <c r="D96" s="777"/>
      <c r="E96" s="376"/>
      <c r="F96" s="262"/>
      <c r="G96" s="232">
        <f>IF((AllSat1&gt;0),"",MAX(F97:F99)/MAX(E97:E99))</f>
        <v>0</v>
      </c>
      <c r="H96" s="1867" t="s">
        <v>651</v>
      </c>
      <c r="I96" s="2181" t="s">
        <v>1183</v>
      </c>
      <c r="J96" s="151"/>
      <c r="K96" s="940"/>
      <c r="L96" s="940"/>
      <c r="M96" s="940"/>
      <c r="N96" s="940"/>
      <c r="O96" s="940"/>
      <c r="P96" s="940"/>
      <c r="Q96" s="940"/>
      <c r="R96" s="940"/>
      <c r="S96" s="940"/>
      <c r="T96" s="940"/>
      <c r="U96" s="940"/>
      <c r="V96" s="940"/>
      <c r="W96" s="940"/>
      <c r="X96" s="940"/>
      <c r="Y96" s="940"/>
      <c r="Z96" s="940"/>
      <c r="AA96" s="940"/>
      <c r="AB96" s="940"/>
      <c r="AC96" s="940"/>
      <c r="AD96" s="940"/>
      <c r="AE96" s="940"/>
      <c r="AF96" s="940"/>
      <c r="AG96" s="940"/>
      <c r="AH96" s="940"/>
      <c r="AI96" s="940"/>
      <c r="AJ96" s="940"/>
      <c r="AK96" s="940"/>
      <c r="AL96" s="940"/>
      <c r="AM96" s="940"/>
      <c r="AN96" s="940"/>
      <c r="AO96" s="940"/>
      <c r="AP96" s="940"/>
      <c r="AQ96" s="940"/>
      <c r="AR96" s="940"/>
      <c r="AS96" s="940"/>
      <c r="AT96" s="940"/>
      <c r="AU96" s="940"/>
      <c r="AV96" s="940"/>
      <c r="AW96" s="940"/>
      <c r="AX96" s="940"/>
      <c r="AY96" s="940"/>
      <c r="AZ96" s="940"/>
      <c r="BA96" s="940"/>
      <c r="BB96" s="940"/>
      <c r="BC96" s="940"/>
      <c r="BD96" s="940"/>
      <c r="BE96" s="940"/>
      <c r="BF96" s="940"/>
      <c r="BG96" s="940"/>
      <c r="BH96" s="940"/>
      <c r="BI96" s="940"/>
      <c r="BJ96" s="940"/>
      <c r="BK96" s="940"/>
      <c r="BL96" s="940"/>
      <c r="BM96" s="940"/>
      <c r="BN96" s="940"/>
    </row>
    <row r="97" spans="1:67" s="5" customFormat="1" ht="27" customHeight="1" x14ac:dyDescent="0.2">
      <c r="A97" s="1991"/>
      <c r="B97" s="2009"/>
      <c r="C97" s="888" t="str">
        <f>F!C223</f>
        <v>evident from direct observation or presence of gnawed limbs, dams, tracks, dens, lodges, or extensive stands of water-killed trees (snags).</v>
      </c>
      <c r="D97" s="733">
        <f>F!D223</f>
        <v>0</v>
      </c>
      <c r="E97" s="722">
        <v>3</v>
      </c>
      <c r="F97" s="722">
        <f>D97*E97</f>
        <v>0</v>
      </c>
      <c r="G97" s="259"/>
      <c r="H97" s="1911"/>
      <c r="I97" s="2142"/>
      <c r="J97" s="151"/>
      <c r="K97" s="940"/>
      <c r="L97" s="940"/>
      <c r="M97" s="940"/>
      <c r="N97" s="940"/>
      <c r="O97" s="940"/>
      <c r="P97" s="940"/>
      <c r="Q97" s="940"/>
      <c r="R97" s="940"/>
      <c r="S97" s="940"/>
      <c r="T97" s="940"/>
      <c r="U97" s="940"/>
      <c r="V97" s="940"/>
      <c r="W97" s="940"/>
      <c r="X97" s="940"/>
      <c r="Y97" s="940"/>
      <c r="Z97" s="940"/>
      <c r="AA97" s="940"/>
      <c r="AB97" s="940"/>
      <c r="AC97" s="940"/>
      <c r="AD97" s="940"/>
      <c r="AE97" s="940"/>
      <c r="AF97" s="940"/>
      <c r="AG97" s="940"/>
      <c r="AH97" s="940"/>
      <c r="AI97" s="940"/>
      <c r="AJ97" s="940"/>
      <c r="AK97" s="940"/>
      <c r="AL97" s="940"/>
      <c r="AM97" s="940"/>
      <c r="AN97" s="940"/>
      <c r="AO97" s="940"/>
      <c r="AP97" s="940"/>
      <c r="AQ97" s="940"/>
      <c r="AR97" s="940"/>
      <c r="AS97" s="940"/>
      <c r="AT97" s="940"/>
      <c r="AU97" s="940"/>
      <c r="AV97" s="940"/>
      <c r="AW97" s="940"/>
      <c r="AX97" s="940"/>
      <c r="AY97" s="940"/>
      <c r="AZ97" s="940"/>
      <c r="BA97" s="940"/>
      <c r="BB97" s="940"/>
      <c r="BC97" s="940"/>
      <c r="BD97" s="940"/>
      <c r="BE97" s="940"/>
      <c r="BF97" s="940"/>
      <c r="BG97" s="940"/>
      <c r="BH97" s="940"/>
      <c r="BI97" s="940"/>
      <c r="BJ97" s="940"/>
      <c r="BK97" s="940"/>
      <c r="BL97" s="940"/>
      <c r="BM97" s="940"/>
      <c r="BN97" s="940"/>
    </row>
    <row r="98" spans="1:67" s="5" customFormat="1" ht="54" customHeight="1" x14ac:dyDescent="0.2">
      <c r="A98" s="1991"/>
      <c r="B98" s="2009"/>
      <c r="C98" s="889" t="str">
        <f>F!C224</f>
        <v>likely based on known occurrence in the region and proximity to suitable habitat, which may include: (a) a persistent freshwater wetland, pond, or lake, or a perennial low or mid-gradient (&lt;10%) channel, and (b) a corridor or multiple stands of hardwood trees and shrubs in vegetated areas near surface water.</v>
      </c>
      <c r="D98" s="733">
        <f>F!D224</f>
        <v>0</v>
      </c>
      <c r="E98" s="722">
        <v>2</v>
      </c>
      <c r="F98" s="722">
        <f>D98*E98</f>
        <v>0</v>
      </c>
      <c r="G98" s="857"/>
      <c r="H98" s="1911"/>
      <c r="I98" s="2142"/>
      <c r="J98" s="151"/>
      <c r="K98" s="940"/>
      <c r="L98" s="940"/>
      <c r="M98" s="940"/>
      <c r="N98" s="940"/>
      <c r="O98" s="940"/>
      <c r="P98" s="940"/>
      <c r="Q98" s="940"/>
      <c r="R98" s="940"/>
      <c r="S98" s="940"/>
      <c r="T98" s="940"/>
      <c r="U98" s="940"/>
      <c r="V98" s="940"/>
      <c r="W98" s="940"/>
      <c r="X98" s="940"/>
      <c r="Y98" s="940"/>
      <c r="Z98" s="940"/>
      <c r="AA98" s="940"/>
      <c r="AB98" s="940"/>
      <c r="AC98" s="940"/>
      <c r="AD98" s="940"/>
      <c r="AE98" s="940"/>
      <c r="AF98" s="940"/>
      <c r="AG98" s="940"/>
      <c r="AH98" s="940"/>
      <c r="AI98" s="940"/>
      <c r="AJ98" s="940"/>
      <c r="AK98" s="940"/>
      <c r="AL98" s="940"/>
      <c r="AM98" s="940"/>
      <c r="AN98" s="940"/>
      <c r="AO98" s="940"/>
      <c r="AP98" s="940"/>
      <c r="AQ98" s="940"/>
      <c r="AR98" s="940"/>
      <c r="AS98" s="940"/>
      <c r="AT98" s="940"/>
      <c r="AU98" s="940"/>
      <c r="AV98" s="940"/>
      <c r="AW98" s="940"/>
      <c r="AX98" s="940"/>
      <c r="AY98" s="940"/>
      <c r="AZ98" s="940"/>
      <c r="BA98" s="940"/>
      <c r="BB98" s="940"/>
      <c r="BC98" s="940"/>
      <c r="BD98" s="940"/>
      <c r="BE98" s="940"/>
      <c r="BF98" s="940"/>
      <c r="BG98" s="940"/>
      <c r="BH98" s="940"/>
      <c r="BI98" s="940"/>
      <c r="BJ98" s="940"/>
      <c r="BK98" s="940"/>
      <c r="BL98" s="940"/>
      <c r="BM98" s="940"/>
      <c r="BN98" s="940"/>
    </row>
    <row r="99" spans="1:67" s="5" customFormat="1" ht="39" thickBot="1" x14ac:dyDescent="0.25">
      <c r="A99" s="1993"/>
      <c r="B99" s="2010"/>
      <c r="C99" s="82" t="str">
        <f>F!C225</f>
        <v>unlikely because site characteristics above are deficient, and/or this is a settled area or other area where beaver are routinely removed.  But beaver occur in this part of the region (i.e., within 25 km).</v>
      </c>
      <c r="D99" s="94">
        <f>F!D225</f>
        <v>0</v>
      </c>
      <c r="E99" s="244">
        <v>0</v>
      </c>
      <c r="F99" s="244">
        <f>D99*E99</f>
        <v>0</v>
      </c>
      <c r="G99" s="266"/>
      <c r="H99" s="1978"/>
      <c r="I99" s="2143"/>
      <c r="J99" s="151"/>
      <c r="K99" s="940"/>
      <c r="L99" s="940"/>
      <c r="M99" s="940"/>
      <c r="N99" s="940"/>
      <c r="O99" s="940"/>
      <c r="P99" s="940"/>
      <c r="Q99" s="940"/>
      <c r="R99" s="940"/>
      <c r="S99" s="940"/>
      <c r="T99" s="940"/>
      <c r="U99" s="940"/>
      <c r="V99" s="940"/>
      <c r="W99" s="940"/>
      <c r="X99" s="940"/>
      <c r="Y99" s="940"/>
      <c r="Z99" s="940"/>
      <c r="AA99" s="940"/>
      <c r="AB99" s="940"/>
      <c r="AC99" s="940"/>
      <c r="AD99" s="940"/>
      <c r="AE99" s="940"/>
      <c r="AF99" s="940"/>
      <c r="AG99" s="940"/>
      <c r="AH99" s="940"/>
      <c r="AI99" s="940"/>
      <c r="AJ99" s="940"/>
      <c r="AK99" s="940"/>
      <c r="AL99" s="940"/>
      <c r="AM99" s="940"/>
      <c r="AN99" s="940"/>
      <c r="AO99" s="940"/>
      <c r="AP99" s="940"/>
      <c r="AQ99" s="940"/>
      <c r="AR99" s="940"/>
      <c r="AS99" s="940"/>
      <c r="AT99" s="940"/>
      <c r="AU99" s="940"/>
      <c r="AV99" s="940"/>
      <c r="AW99" s="940"/>
      <c r="AX99" s="940"/>
      <c r="AY99" s="940"/>
      <c r="AZ99" s="940"/>
      <c r="BA99" s="940"/>
      <c r="BB99" s="940"/>
      <c r="BC99" s="940"/>
      <c r="BD99" s="940"/>
      <c r="BE99" s="940"/>
      <c r="BF99" s="940"/>
      <c r="BG99" s="940"/>
      <c r="BH99" s="940"/>
      <c r="BI99" s="940"/>
      <c r="BJ99" s="940"/>
      <c r="BK99" s="940"/>
      <c r="BL99" s="940"/>
      <c r="BM99" s="940"/>
      <c r="BN99" s="940"/>
    </row>
    <row r="100" spans="1:67" s="16" customFormat="1" ht="21" customHeight="1" thickBot="1" x14ac:dyDescent="0.25">
      <c r="A100" s="1991" t="str">
        <f>F!A243</f>
        <v>F50</v>
      </c>
      <c r="B100" s="2009" t="str">
        <f>F!B243</f>
        <v>Groundwater: Strength of Evidence</v>
      </c>
      <c r="C100" s="877" t="str">
        <f>F!C243</f>
        <v xml:space="preserve">Select first applicable choice. </v>
      </c>
      <c r="D100" s="801"/>
      <c r="E100" s="206"/>
      <c r="F100" s="259"/>
      <c r="G100" s="231">
        <f>IF((D103=1),"",MAX(F100:F103)/MAX(E101:E103))</f>
        <v>0</v>
      </c>
      <c r="H100" s="1881" t="s">
        <v>123</v>
      </c>
      <c r="I100" s="2174" t="s">
        <v>1180</v>
      </c>
      <c r="J100" s="14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8"/>
    </row>
    <row r="101" spans="1:67" s="16" customFormat="1" ht="52.5" customHeight="1" x14ac:dyDescent="0.2">
      <c r="A101" s="1991"/>
      <c r="B101" s="2009"/>
      <c r="C101" s="360" t="str">
        <f>F!C244</f>
        <v xml:space="preserve">Springs are known to be present within the AA, or if groundwater levels have been monitored, that has demonstrated that groundwater primarily discharges to the wetland for longer periods during the year than periods when the wetland recharges the groundwater. 
</v>
      </c>
      <c r="D101" s="187">
        <f>F!D244</f>
        <v>0</v>
      </c>
      <c r="E101" s="204">
        <v>3</v>
      </c>
      <c r="F101" s="241">
        <f>D101*E101</f>
        <v>0</v>
      </c>
      <c r="G101" s="235"/>
      <c r="H101" s="1881"/>
      <c r="I101" s="2175"/>
      <c r="J101" s="14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8"/>
    </row>
    <row r="102" spans="1:67" s="16" customFormat="1" ht="84" customHeight="1" x14ac:dyDescent="0.2">
      <c r="A102" s="1991"/>
      <c r="B102" s="2009"/>
      <c r="C102" s="361" t="str">
        <f>F!C245</f>
        <v xml:space="preserve">If surface water is present, its pH (Q44) is &gt;5.5 AND one or more of the following are true: (a) the AA is located very close to the base of (but mostly not ON) a natural slope much steeper (usually &gt;15%) than that within the AA and longer than 100 m, OR
(b) rust deposits ("iron floc"), colored precipitates, or dispersible natural oil sheen are prevalent in the AA, OR
(c) AA is located at a geologic fault.
</v>
      </c>
      <c r="D102" s="101">
        <f>F!D245</f>
        <v>0</v>
      </c>
      <c r="E102" s="204">
        <v>2</v>
      </c>
      <c r="F102" s="241">
        <f>D102*E102</f>
        <v>0</v>
      </c>
      <c r="G102" s="236"/>
      <c r="H102" s="1881"/>
      <c r="I102" s="2175"/>
      <c r="J102" s="14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8"/>
    </row>
    <row r="103" spans="1:67" s="16" customFormat="1" ht="27" customHeight="1" thickBot="1" x14ac:dyDescent="0.25">
      <c r="A103" s="1991"/>
      <c r="B103" s="2009"/>
      <c r="C103" s="361" t="str">
        <f>F!C246</f>
        <v>Neither of above is true, although some groundwater may discharge to or flow through the AA.  Or groundwater influx is unknown.</v>
      </c>
      <c r="D103" s="370">
        <f>F!D246</f>
        <v>0</v>
      </c>
      <c r="E103" s="305">
        <v>0</v>
      </c>
      <c r="F103" s="380">
        <f>D103*E103</f>
        <v>0</v>
      </c>
      <c r="G103" s="367"/>
      <c r="H103" s="1882"/>
      <c r="I103" s="2176"/>
      <c r="J103" s="14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8"/>
    </row>
    <row r="104" spans="1:67" s="16" customFormat="1" ht="21" customHeight="1" thickBot="1" x14ac:dyDescent="0.25">
      <c r="A104" s="2189" t="str">
        <f>F!A247</f>
        <v>F51</v>
      </c>
      <c r="B104" s="2177" t="str">
        <f>F!B247</f>
        <v>Internal Gradient</v>
      </c>
      <c r="C104" s="90" t="str">
        <f>F!C247</f>
        <v>The gradient along most of the flow path within the AA is:</v>
      </c>
      <c r="D104" s="372"/>
      <c r="E104" s="368"/>
      <c r="F104" s="368"/>
      <c r="G104" s="290">
        <f>MAX(F105:F108)/MAX(E105:E108)</f>
        <v>0</v>
      </c>
      <c r="H104" s="1910" t="s">
        <v>122</v>
      </c>
      <c r="I104" s="2180" t="s">
        <v>30</v>
      </c>
      <c r="J104" s="14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8"/>
    </row>
    <row r="105" spans="1:67" s="16" customFormat="1" ht="27" customHeight="1" x14ac:dyDescent="0.2">
      <c r="A105" s="2190"/>
      <c r="B105" s="2178"/>
      <c r="C105" s="426" t="str">
        <f>F!C248</f>
        <v>&lt;2%, or, no slope is ever apparent (i.e., flat). Or, the wetland is in a depression or pond with no inlet and no outlet.</v>
      </c>
      <c r="D105" s="180">
        <f>F!D248</f>
        <v>0</v>
      </c>
      <c r="E105" s="369">
        <v>4</v>
      </c>
      <c r="F105" s="377">
        <f>D105*E105</f>
        <v>0</v>
      </c>
      <c r="G105" s="236"/>
      <c r="H105" s="1881"/>
      <c r="I105" s="2175"/>
      <c r="J105" s="14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8"/>
    </row>
    <row r="106" spans="1:67" s="16" customFormat="1" ht="15" customHeight="1" x14ac:dyDescent="0.2">
      <c r="A106" s="2190"/>
      <c r="B106" s="2178"/>
      <c r="C106" s="362" t="str">
        <f>F!C249</f>
        <v>2-5%</v>
      </c>
      <c r="D106" s="354">
        <f>F!D249</f>
        <v>0</v>
      </c>
      <c r="E106" s="369">
        <v>3</v>
      </c>
      <c r="F106" s="377">
        <f>D106*E106</f>
        <v>0</v>
      </c>
      <c r="G106" s="236"/>
      <c r="H106" s="1881"/>
      <c r="I106" s="2175"/>
      <c r="J106" s="14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8"/>
    </row>
    <row r="107" spans="1:67" s="16" customFormat="1" ht="15" customHeight="1" x14ac:dyDescent="0.2">
      <c r="A107" s="2190"/>
      <c r="B107" s="2178"/>
      <c r="C107" s="362" t="str">
        <f>F!C250</f>
        <v>6-10%</v>
      </c>
      <c r="D107" s="354">
        <f>F!D250</f>
        <v>0</v>
      </c>
      <c r="E107" s="369">
        <v>2</v>
      </c>
      <c r="F107" s="377">
        <f>D107*E107</f>
        <v>0</v>
      </c>
      <c r="G107" s="236"/>
      <c r="H107" s="1881"/>
      <c r="I107" s="2175"/>
      <c r="J107" s="14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8"/>
    </row>
    <row r="108" spans="1:67" s="15" customFormat="1" ht="15" customHeight="1" thickBot="1" x14ac:dyDescent="0.25">
      <c r="A108" s="2191"/>
      <c r="B108" s="2179"/>
      <c r="C108" s="82" t="str">
        <f>F!C251</f>
        <v>&gt;10%</v>
      </c>
      <c r="D108" s="94">
        <f>F!D251</f>
        <v>0</v>
      </c>
      <c r="E108" s="205">
        <v>0</v>
      </c>
      <c r="F108" s="244">
        <f>D108*E108</f>
        <v>0</v>
      </c>
      <c r="G108" s="237"/>
      <c r="H108" s="1882"/>
      <c r="I108" s="2187"/>
      <c r="J108" s="145"/>
    </row>
    <row r="109" spans="1:67" ht="33" customHeight="1" thickBot="1" x14ac:dyDescent="0.25">
      <c r="A109" s="2075" t="str">
        <f>F!A252</f>
        <v>F52</v>
      </c>
      <c r="B109" s="2133" t="str">
        <f>F!B252</f>
        <v>Percent of Buffer with Perennial Vegetation</v>
      </c>
      <c r="C109" s="877" t="str">
        <f>F!C252</f>
        <v>Extending 30 m on all sides from the AA's edge,  the percentage that contains water or perennial vegetation taller than 10 cm during most of the growing season is:</v>
      </c>
      <c r="D109" s="437"/>
      <c r="E109" s="239"/>
      <c r="F109" s="240"/>
      <c r="G109" s="231">
        <f>MAX(F110:F114)/MAX(E110:E114)</f>
        <v>0</v>
      </c>
      <c r="H109" s="1910" t="s">
        <v>558</v>
      </c>
      <c r="I109" s="2174" t="s">
        <v>1686</v>
      </c>
    </row>
    <row r="110" spans="1:67" ht="24" customHeight="1" x14ac:dyDescent="0.2">
      <c r="A110" s="2075"/>
      <c r="B110" s="2133"/>
      <c r="C110" s="426" t="str">
        <f>F!C253</f>
        <v xml:space="preserve">&lt;5% </v>
      </c>
      <c r="D110" s="91">
        <f>F!D253</f>
        <v>0</v>
      </c>
      <c r="E110" s="260">
        <v>0</v>
      </c>
      <c r="F110" s="241">
        <f>D110*E110</f>
        <v>0</v>
      </c>
      <c r="G110" s="235"/>
      <c r="H110" s="1881"/>
      <c r="I110" s="2175"/>
    </row>
    <row r="111" spans="1:67" ht="24" customHeight="1" x14ac:dyDescent="0.2">
      <c r="A111" s="2075"/>
      <c r="B111" s="2133"/>
      <c r="C111" s="362" t="str">
        <f>F!C254</f>
        <v>5 to 30%</v>
      </c>
      <c r="D111" s="91">
        <f>F!D254</f>
        <v>0</v>
      </c>
      <c r="E111" s="260">
        <v>3</v>
      </c>
      <c r="F111" s="241">
        <f>D111*E111</f>
        <v>0</v>
      </c>
      <c r="G111" s="236"/>
      <c r="H111" s="1881"/>
      <c r="I111" s="2175"/>
    </row>
    <row r="112" spans="1:67" ht="24" customHeight="1" x14ac:dyDescent="0.2">
      <c r="A112" s="2075"/>
      <c r="B112" s="2133"/>
      <c r="C112" s="362" t="str">
        <f>F!C255</f>
        <v>30 to 60%</v>
      </c>
      <c r="D112" s="91">
        <f>F!D255</f>
        <v>0</v>
      </c>
      <c r="E112" s="260">
        <v>4</v>
      </c>
      <c r="F112" s="241">
        <f>D112*E112</f>
        <v>0</v>
      </c>
      <c r="G112" s="236"/>
      <c r="H112" s="1881"/>
      <c r="I112" s="2175"/>
    </row>
    <row r="113" spans="1:66" ht="24" customHeight="1" x14ac:dyDescent="0.2">
      <c r="A113" s="2075"/>
      <c r="B113" s="2133"/>
      <c r="C113" s="362" t="str">
        <f>F!C256</f>
        <v>60 to 90%</v>
      </c>
      <c r="D113" s="494">
        <f>F!D256</f>
        <v>0</v>
      </c>
      <c r="E113" s="260">
        <v>7</v>
      </c>
      <c r="F113" s="241">
        <f>D113*E113</f>
        <v>0</v>
      </c>
      <c r="G113" s="236"/>
      <c r="H113" s="1881"/>
      <c r="I113" s="2175"/>
    </row>
    <row r="114" spans="1:66" ht="39" customHeight="1" thickBot="1" x14ac:dyDescent="0.25">
      <c r="A114" s="2075"/>
      <c r="B114" s="2133"/>
      <c r="C114" s="361" t="str">
        <f>F!C257</f>
        <v>&gt;90%, or the AA does not adjoin any upland  SKIP to F54 (Cliffs).</v>
      </c>
      <c r="D114" s="370">
        <f>F!D257</f>
        <v>0</v>
      </c>
      <c r="E114" s="432">
        <v>10</v>
      </c>
      <c r="F114" s="380">
        <f>D114*E114</f>
        <v>0</v>
      </c>
      <c r="G114" s="367"/>
      <c r="H114" s="1882"/>
      <c r="I114" s="2176"/>
    </row>
    <row r="115" spans="1:66" ht="77.25" thickBot="1" x14ac:dyDescent="0.25">
      <c r="A115" s="1992" t="str">
        <f>F!A288</f>
        <v>F60</v>
      </c>
      <c r="B115" s="2132" t="str">
        <f>F!B288</f>
        <v xml:space="preserve">Unvisited Core Area </v>
      </c>
      <c r="C115" s="90" t="str">
        <f>F!C288</f>
        <v>The percentage of the AA almost never visited by humans during an average growing season probably comprises: [Note: Only include the part actually walked or driven (not simply viewed from) with a vehicle or boat. Do not include visitors on trails outside of the AA unless more than half the wetland is visible from the trails and they are within 30 m of the wetland edge. In that case include only the area occupied by the trail]</v>
      </c>
      <c r="D115" s="378"/>
      <c r="E115" s="368"/>
      <c r="F115" s="234"/>
      <c r="G115" s="232">
        <f>MAX(F116:F121)/MAX(E116:E121)</f>
        <v>0</v>
      </c>
      <c r="H115" s="1910" t="s">
        <v>124</v>
      </c>
      <c r="I115" s="2180" t="s">
        <v>31</v>
      </c>
    </row>
    <row r="116" spans="1:66" ht="15" customHeight="1" x14ac:dyDescent="0.2">
      <c r="A116" s="1991"/>
      <c r="B116" s="2133"/>
      <c r="C116" s="426" t="str">
        <f>F!C289</f>
        <v>&lt;5% and no inhabited building is within 100 m of the AA.</v>
      </c>
      <c r="D116" s="354">
        <f>F!D289</f>
        <v>0</v>
      </c>
      <c r="E116" s="369">
        <v>1</v>
      </c>
      <c r="F116" s="377">
        <f t="shared" ref="F116:F121" si="6">D116*E116</f>
        <v>0</v>
      </c>
      <c r="G116" s="235"/>
      <c r="H116" s="1881"/>
      <c r="I116" s="2175"/>
    </row>
    <row r="117" spans="1:66" ht="15" customHeight="1" x14ac:dyDescent="0.2">
      <c r="A117" s="1991"/>
      <c r="B117" s="2133"/>
      <c r="C117" s="362" t="str">
        <f>F!C290</f>
        <v>&lt;5% and inhabited building is within 100 m of the AA.</v>
      </c>
      <c r="D117" s="354">
        <f>F!D290</f>
        <v>0</v>
      </c>
      <c r="E117" s="369">
        <v>0</v>
      </c>
      <c r="F117" s="377">
        <f t="shared" si="6"/>
        <v>0</v>
      </c>
      <c r="G117" s="236"/>
      <c r="H117" s="1881"/>
      <c r="I117" s="2175"/>
    </row>
    <row r="118" spans="1:66" ht="15" customHeight="1" x14ac:dyDescent="0.2">
      <c r="A118" s="1991"/>
      <c r="B118" s="2133"/>
      <c r="C118" s="362" t="str">
        <f>F!C291</f>
        <v>5-50% and no inhabited building is within 100 m of the AA.</v>
      </c>
      <c r="D118" s="354">
        <f>F!D291</f>
        <v>0</v>
      </c>
      <c r="E118" s="369">
        <v>3</v>
      </c>
      <c r="F118" s="377">
        <f t="shared" si="6"/>
        <v>0</v>
      </c>
      <c r="G118" s="236"/>
      <c r="H118" s="1881"/>
      <c r="I118" s="2175"/>
    </row>
    <row r="119" spans="1:66" ht="15" customHeight="1" x14ac:dyDescent="0.2">
      <c r="A119" s="1991"/>
      <c r="B119" s="2133"/>
      <c r="C119" s="362" t="str">
        <f>F!C292</f>
        <v>5-50% and inhabited building is within 100 m of the AA.</v>
      </c>
      <c r="D119" s="354">
        <f>F!D292</f>
        <v>0</v>
      </c>
      <c r="E119" s="369">
        <v>2</v>
      </c>
      <c r="F119" s="377">
        <f t="shared" si="6"/>
        <v>0</v>
      </c>
      <c r="G119" s="236"/>
      <c r="H119" s="1881"/>
      <c r="I119" s="2175"/>
    </row>
    <row r="120" spans="1:66" ht="15" customHeight="1" x14ac:dyDescent="0.2">
      <c r="A120" s="1991"/>
      <c r="B120" s="2133"/>
      <c r="C120" s="362" t="str">
        <f>F!C293</f>
        <v>50-95%, with or without inhabited building nearby.</v>
      </c>
      <c r="D120" s="354">
        <f>F!D293</f>
        <v>0</v>
      </c>
      <c r="E120" s="369">
        <v>4</v>
      </c>
      <c r="F120" s="377">
        <f t="shared" si="6"/>
        <v>0</v>
      </c>
      <c r="G120" s="236"/>
      <c r="H120" s="1881"/>
      <c r="I120" s="2175"/>
    </row>
    <row r="121" spans="1:66" ht="15" customHeight="1" thickBot="1" x14ac:dyDescent="0.25">
      <c r="A121" s="1993"/>
      <c r="B121" s="2140"/>
      <c r="C121" s="82" t="str">
        <f>F!C294</f>
        <v>&gt;95% of the AA with or without inhabited building nearby.</v>
      </c>
      <c r="D121" s="94">
        <f>F!D294</f>
        <v>0</v>
      </c>
      <c r="E121" s="205">
        <v>5</v>
      </c>
      <c r="F121" s="244">
        <f t="shared" si="6"/>
        <v>0</v>
      </c>
      <c r="G121" s="237"/>
      <c r="H121" s="1882"/>
      <c r="I121" s="2179"/>
    </row>
    <row r="122" spans="1:66" ht="75" customHeight="1" thickBot="1" x14ac:dyDescent="0.25">
      <c r="A122" s="1991" t="str">
        <f>F!A295</f>
        <v>F61</v>
      </c>
      <c r="B122" s="2133" t="str">
        <f>F!B295</f>
        <v>Frequently Visited Area</v>
      </c>
      <c r="C122" s="877" t="str">
        <f>F!C295</f>
        <v>The percentage of the AA visited by humans almost daily for several weeks during an average growing season probably comprises: [Note: Do not include visitors on trails outside of the AA unless more than half the wetland is visible from the trails and they are within 30 m of the wetland edge.  In that case, imagine the percentage of the AA that would be covered by the trail if it were placed within the AA.]</v>
      </c>
      <c r="D122" s="396"/>
      <c r="E122" s="206"/>
      <c r="F122" s="240"/>
      <c r="G122" s="231">
        <f>MAX(F123:F126)/MAX(E123:E126)</f>
        <v>0</v>
      </c>
      <c r="H122" s="1910" t="s">
        <v>125</v>
      </c>
      <c r="I122" s="2174" t="s">
        <v>75</v>
      </c>
    </row>
    <row r="123" spans="1:66" ht="15" customHeight="1" x14ac:dyDescent="0.2">
      <c r="A123" s="1991"/>
      <c r="B123" s="2133"/>
      <c r="C123" s="426" t="str">
        <f>F!C296</f>
        <v>&lt;5%.  If F62 was answered "&gt;95%", SKIP to F64 (Consumptive Uses).</v>
      </c>
      <c r="D123" s="180">
        <f>F!D296</f>
        <v>0</v>
      </c>
      <c r="E123" s="204">
        <v>3</v>
      </c>
      <c r="F123" s="241">
        <f>D123*E123</f>
        <v>0</v>
      </c>
      <c r="G123" s="235"/>
      <c r="H123" s="1881"/>
      <c r="I123" s="2175"/>
    </row>
    <row r="124" spans="1:66" ht="15" customHeight="1" x14ac:dyDescent="0.2">
      <c r="A124" s="1991"/>
      <c r="B124" s="2133"/>
      <c r="C124" s="362" t="str">
        <f>F!C297</f>
        <v>5-50%</v>
      </c>
      <c r="D124" s="40">
        <f>F!D297</f>
        <v>0</v>
      </c>
      <c r="E124" s="204">
        <v>2</v>
      </c>
      <c r="F124" s="241">
        <f>D124*E124</f>
        <v>0</v>
      </c>
      <c r="G124" s="236"/>
      <c r="H124" s="1881"/>
      <c r="I124" s="2175"/>
    </row>
    <row r="125" spans="1:66" ht="15" customHeight="1" x14ac:dyDescent="0.2">
      <c r="A125" s="1991"/>
      <c r="B125" s="2133"/>
      <c r="C125" s="362" t="str">
        <f>F!C298</f>
        <v>50-95%</v>
      </c>
      <c r="D125" s="40">
        <f>F!D298</f>
        <v>0</v>
      </c>
      <c r="E125" s="204">
        <v>1</v>
      </c>
      <c r="F125" s="241">
        <f>D125*E125</f>
        <v>0</v>
      </c>
      <c r="G125" s="236"/>
      <c r="H125" s="1881"/>
      <c r="I125" s="2175"/>
    </row>
    <row r="126" spans="1:66" ht="15" customHeight="1" thickBot="1" x14ac:dyDescent="0.25">
      <c r="A126" s="1991"/>
      <c r="B126" s="2133"/>
      <c r="C126" s="361" t="str">
        <f>F!C299</f>
        <v>&gt;95% of the AA.</v>
      </c>
      <c r="D126" s="356">
        <f>F!D299</f>
        <v>0</v>
      </c>
      <c r="E126" s="305">
        <v>0</v>
      </c>
      <c r="F126" s="380">
        <f>D126*E126</f>
        <v>0</v>
      </c>
      <c r="G126" s="367"/>
      <c r="H126" s="1881"/>
      <c r="I126" s="2176"/>
    </row>
    <row r="127" spans="1:66" ht="64.5" thickBot="1" x14ac:dyDescent="0.25">
      <c r="A127" s="57" t="str">
        <f>F!A301</f>
        <v>F63</v>
      </c>
      <c r="B127" s="492" t="str">
        <f>F!B301</f>
        <v>BMP - Wildlife Protection</v>
      </c>
      <c r="C127" s="394" t="str">
        <f>F!C301</f>
        <v xml:space="preserve">Fences, observation blinds, platforms, paved trails, exclusion periods, and/or well-enforced prohibitions on motorized boats, off-leash pets, and off road vehicles appear to effectively exclude or divert visitors and their pets from the AA at critical times in order to minimize disturbance of wildlife (except during hunting seasons).  Enter "1" if true. </v>
      </c>
      <c r="D127" s="188">
        <f>F!D301</f>
        <v>0</v>
      </c>
      <c r="E127" s="292"/>
      <c r="F127" s="270"/>
      <c r="G127" s="232">
        <f>IF((D121+D123&gt;1),"",D127)</f>
        <v>0</v>
      </c>
      <c r="H127" s="332" t="s">
        <v>839</v>
      </c>
      <c r="I127" s="797" t="s">
        <v>2056</v>
      </c>
    </row>
    <row r="128" spans="1:66" s="892" customFormat="1" ht="78" customHeight="1" thickBot="1" x14ac:dyDescent="0.25">
      <c r="A128" s="2165" t="str">
        <f>F!A324</f>
        <v>F68</v>
      </c>
      <c r="B128" s="2165" t="str">
        <f>F!B324</f>
        <v>Plants or Animals of Conservation Concern</v>
      </c>
      <c r="C128" s="1061" t="str">
        <f>F!C324</f>
        <v xml:space="preserve">If required, survey the AA for plant or animal species at risk in Alberta (see list in RarePlants or RareAnimals worksheet tabs), especially if the data review conducted during the office phase of this assessment indicated their past presence in the general vicinity. Do so at appropriate times of the year. If you do detect these species or have reliable knowledge of their recent (within ~5 years) occurrence within the AA, indicate that below.  </v>
      </c>
      <c r="D128" s="1060"/>
      <c r="E128" s="902"/>
      <c r="F128" s="912"/>
      <c r="G128" s="913" t="str">
        <f>IF((D129=0),"",1)</f>
        <v/>
      </c>
      <c r="H128" s="2161" t="s">
        <v>2009</v>
      </c>
      <c r="I128" s="2165" t="s">
        <v>2031</v>
      </c>
      <c r="J128" s="896"/>
      <c r="K128" s="897"/>
      <c r="L128" s="897"/>
      <c r="M128" s="897"/>
      <c r="N128" s="897"/>
      <c r="O128" s="897"/>
      <c r="P128" s="897"/>
      <c r="Q128" s="897"/>
      <c r="R128" s="897"/>
      <c r="S128" s="897"/>
      <c r="T128" s="897"/>
      <c r="U128" s="897"/>
      <c r="V128" s="897"/>
      <c r="W128" s="897"/>
      <c r="X128" s="897"/>
      <c r="Y128" s="897"/>
      <c r="Z128" s="897"/>
      <c r="AA128" s="897"/>
      <c r="AB128" s="897"/>
      <c r="AC128" s="897"/>
      <c r="AD128" s="897"/>
      <c r="AE128" s="897"/>
      <c r="AF128" s="897"/>
      <c r="AG128" s="897"/>
      <c r="AH128" s="897"/>
      <c r="AI128" s="897"/>
      <c r="AJ128" s="897"/>
      <c r="AK128" s="897"/>
      <c r="AL128" s="897"/>
      <c r="AM128" s="897"/>
      <c r="AN128" s="897"/>
      <c r="AO128" s="897"/>
      <c r="AP128" s="897"/>
      <c r="AQ128" s="897"/>
      <c r="AR128" s="897"/>
      <c r="AS128" s="897"/>
      <c r="AT128" s="897"/>
      <c r="AU128" s="897"/>
      <c r="AV128" s="897"/>
      <c r="AW128" s="897"/>
      <c r="AX128" s="897"/>
      <c r="AY128" s="897"/>
      <c r="AZ128" s="897"/>
      <c r="BA128" s="897"/>
      <c r="BB128" s="897"/>
      <c r="BC128" s="897"/>
      <c r="BD128" s="897"/>
      <c r="BE128" s="897"/>
      <c r="BF128" s="897"/>
      <c r="BG128" s="897"/>
      <c r="BH128" s="897"/>
      <c r="BI128" s="897"/>
      <c r="BJ128" s="897"/>
      <c r="BK128" s="897"/>
      <c r="BL128" s="897"/>
      <c r="BM128" s="897"/>
      <c r="BN128" s="897"/>
    </row>
    <row r="129" spans="1:66" s="892" customFormat="1" ht="15" customHeight="1" thickBot="1" x14ac:dyDescent="0.25">
      <c r="A129" s="2166"/>
      <c r="B129" s="2166"/>
      <c r="C129" s="1062" t="str">
        <f>F!C327</f>
        <v>One or more of the rare amphibian species was detected within the AA.</v>
      </c>
      <c r="D129" s="938">
        <f>F!D327</f>
        <v>0</v>
      </c>
      <c r="E129" s="903"/>
      <c r="F129" s="263"/>
      <c r="G129" s="283"/>
      <c r="H129" s="2162"/>
      <c r="I129" s="2166"/>
      <c r="J129" s="896"/>
      <c r="K129" s="897"/>
      <c r="L129" s="897"/>
      <c r="M129" s="897"/>
      <c r="N129" s="897"/>
      <c r="O129" s="897"/>
      <c r="P129" s="897"/>
      <c r="Q129" s="897"/>
      <c r="R129" s="897"/>
      <c r="S129" s="897"/>
      <c r="T129" s="897"/>
      <c r="U129" s="897"/>
      <c r="V129" s="897"/>
      <c r="W129" s="897"/>
      <c r="X129" s="897"/>
      <c r="Y129" s="897"/>
      <c r="Z129" s="897"/>
      <c r="AA129" s="897"/>
      <c r="AB129" s="897"/>
      <c r="AC129" s="897"/>
      <c r="AD129" s="897"/>
      <c r="AE129" s="897"/>
      <c r="AF129" s="897"/>
      <c r="AG129" s="897"/>
      <c r="AH129" s="897"/>
      <c r="AI129" s="897"/>
      <c r="AJ129" s="897"/>
      <c r="AK129" s="897"/>
      <c r="AL129" s="897"/>
      <c r="AM129" s="897"/>
      <c r="AN129" s="897"/>
      <c r="AO129" s="897"/>
      <c r="AP129" s="897"/>
      <c r="AQ129" s="897"/>
      <c r="AR129" s="897"/>
      <c r="AS129" s="897"/>
      <c r="AT129" s="897"/>
      <c r="AU129" s="897"/>
      <c r="AV129" s="897"/>
      <c r="AW129" s="897"/>
      <c r="AX129" s="897"/>
      <c r="AY129" s="897"/>
      <c r="AZ129" s="897"/>
      <c r="BA129" s="897"/>
      <c r="BB129" s="897"/>
      <c r="BC129" s="897"/>
      <c r="BD129" s="897"/>
      <c r="BE129" s="897"/>
      <c r="BF129" s="897"/>
      <c r="BG129" s="897"/>
      <c r="BH129" s="897"/>
      <c r="BI129" s="897"/>
      <c r="BJ129" s="897"/>
      <c r="BK129" s="897"/>
      <c r="BL129" s="897"/>
      <c r="BM129" s="897"/>
      <c r="BN129" s="897"/>
    </row>
    <row r="130" spans="1:66" ht="84" customHeight="1" thickBot="1" x14ac:dyDescent="0.25">
      <c r="A130" s="899" t="str">
        <f>S!A25</f>
        <v>S2</v>
      </c>
      <c r="B130" s="900" t="str">
        <f>S!B25</f>
        <v>Accelerated Inputs of Contaminants and/or Salts</v>
      </c>
      <c r="C130" s="901"/>
      <c r="D130" s="898">
        <f>S!F39</f>
        <v>0</v>
      </c>
      <c r="E130" s="890"/>
      <c r="F130" s="276"/>
      <c r="G130" s="231">
        <f>1-D130</f>
        <v>1</v>
      </c>
      <c r="H130" s="1361" t="s">
        <v>840</v>
      </c>
      <c r="I130" s="1375" t="s">
        <v>1957</v>
      </c>
    </row>
    <row r="131" spans="1:66" s="12" customFormat="1" ht="21" customHeight="1" thickBot="1" x14ac:dyDescent="0.25">
      <c r="A131" s="394"/>
      <c r="B131" s="394"/>
      <c r="C131" s="6"/>
      <c r="D131" s="616"/>
      <c r="E131" s="616"/>
      <c r="F131" s="616"/>
      <c r="G131" s="616"/>
      <c r="H131" s="592"/>
      <c r="I131" s="592"/>
      <c r="J131" s="144"/>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row>
    <row r="132" spans="1:66" s="5" customFormat="1" ht="21" customHeight="1" thickBot="1" x14ac:dyDescent="0.25">
      <c r="A132" s="6"/>
      <c r="B132" s="6"/>
      <c r="C132" s="391" t="s">
        <v>744</v>
      </c>
      <c r="D132" s="611"/>
      <c r="E132" s="611"/>
      <c r="F132" s="611"/>
      <c r="G132" s="611"/>
      <c r="H132" s="119"/>
      <c r="I132" s="119"/>
      <c r="J132" s="441"/>
      <c r="K132" s="110"/>
      <c r="L132" s="110"/>
    </row>
    <row r="133" spans="1:66" s="5" customFormat="1" ht="42" customHeight="1" thickBot="1" x14ac:dyDescent="0.25">
      <c r="A133" s="10"/>
      <c r="B133" s="119"/>
      <c r="C133" s="1247" t="s">
        <v>2479</v>
      </c>
      <c r="D133" s="1264"/>
      <c r="E133" s="1264"/>
      <c r="F133" s="1264"/>
      <c r="G133" s="1248">
        <f>AVERAGE( Interspers11,HerbWoodMix11,ISOwet11,AVERAGE(ClassRichIn, WetPerim2Area, OWpct11,Girreg11,Vwidth11,TreeVar11,WoodDown11,WoodAbove11))</f>
        <v>0</v>
      </c>
      <c r="H133" s="119"/>
      <c r="I133" s="119"/>
      <c r="J133" s="140"/>
      <c r="K133" s="110"/>
      <c r="L133" s="110"/>
    </row>
    <row r="134" spans="1:66" s="5" customFormat="1" ht="21" customHeight="1" thickBot="1" x14ac:dyDescent="0.25">
      <c r="A134" s="1246"/>
      <c r="B134" s="1246"/>
      <c r="D134" s="940"/>
      <c r="E134" s="940"/>
      <c r="F134" s="940"/>
      <c r="G134" s="940"/>
      <c r="H134" s="119"/>
      <c r="I134" s="119"/>
      <c r="J134" s="441"/>
      <c r="K134" s="160"/>
      <c r="L134" s="110"/>
    </row>
    <row r="135" spans="1:66" s="5" customFormat="1" ht="21" customHeight="1" thickBot="1" x14ac:dyDescent="0.25">
      <c r="A135" s="1246"/>
      <c r="B135" s="1246"/>
      <c r="C135" s="391" t="s">
        <v>745</v>
      </c>
      <c r="D135" s="1027"/>
      <c r="E135" s="1027"/>
      <c r="F135" s="1027"/>
      <c r="G135" s="1027"/>
      <c r="H135" s="119"/>
      <c r="I135" s="119"/>
      <c r="J135" s="441"/>
      <c r="K135" s="160"/>
      <c r="L135" s="110"/>
    </row>
    <row r="136" spans="1:66" s="5" customFormat="1" ht="30" customHeight="1" thickBot="1" x14ac:dyDescent="0.25">
      <c r="A136" s="1350"/>
      <c r="B136" s="940"/>
      <c r="C136" s="1072" t="s">
        <v>2404</v>
      </c>
      <c r="D136" s="590"/>
      <c r="E136" s="507"/>
      <c r="F136" s="507"/>
      <c r="G136" s="285">
        <f>AVERAGE(GrowDD, GWDspring, GroundW11, Beaver11, Salin11, Gradient11, SatPct11, Fluctu11)</f>
        <v>0</v>
      </c>
      <c r="H136" s="119"/>
      <c r="I136" s="119"/>
      <c r="J136" s="441"/>
      <c r="K136" s="160"/>
      <c r="L136" s="110"/>
    </row>
    <row r="137" spans="1:66" s="6" customFormat="1" ht="21" customHeight="1" thickBot="1" x14ac:dyDescent="0.25">
      <c r="A137" s="1548"/>
      <c r="B137" s="1548"/>
      <c r="C137" s="110"/>
      <c r="D137" s="617"/>
      <c r="E137" s="617"/>
      <c r="F137" s="617"/>
      <c r="G137" s="617"/>
      <c r="H137" s="119"/>
      <c r="I137" s="119"/>
      <c r="J137" s="441"/>
      <c r="K137" s="110"/>
      <c r="L137" s="110"/>
    </row>
    <row r="138" spans="1:66" s="6" customFormat="1" ht="21" customHeight="1" thickBot="1" x14ac:dyDescent="0.25">
      <c r="A138" s="1548"/>
      <c r="B138" s="1548"/>
      <c r="C138" s="392" t="s">
        <v>2267</v>
      </c>
      <c r="D138" s="1262"/>
      <c r="E138" s="1262"/>
      <c r="F138" s="1262"/>
      <c r="G138" s="1262"/>
      <c r="H138" s="119"/>
      <c r="I138" s="119"/>
      <c r="J138" s="441"/>
      <c r="K138" s="110"/>
      <c r="L138" s="110"/>
    </row>
    <row r="139" spans="1:66" s="6" customFormat="1" ht="30.75" customHeight="1" thickBot="1" x14ac:dyDescent="0.25">
      <c r="A139" s="1548"/>
      <c r="B139" s="1548"/>
      <c r="C139" s="1334" t="s">
        <v>2480</v>
      </c>
      <c r="D139" s="590"/>
      <c r="E139" s="507"/>
      <c r="F139" s="507"/>
      <c r="G139" s="285">
        <f>AVERAGE(UniqFenMarshSwamp, ClassRich1k, WetDens1k_NoBog, BuffNatPct11,NatCov1k)</f>
        <v>0</v>
      </c>
      <c r="H139" s="119"/>
      <c r="I139" s="1589"/>
      <c r="J139" s="441"/>
      <c r="K139" s="110"/>
      <c r="L139" s="110"/>
    </row>
    <row r="140" spans="1:66" s="6" customFormat="1" ht="21" customHeight="1" thickBot="1" x14ac:dyDescent="0.25">
      <c r="A140" s="1548"/>
      <c r="B140" s="1548"/>
      <c r="C140" s="110"/>
      <c r="D140" s="1262"/>
      <c r="E140" s="1262"/>
      <c r="F140" s="1262"/>
      <c r="G140" s="1262"/>
      <c r="H140" s="119"/>
      <c r="I140" s="119"/>
      <c r="J140" s="441"/>
      <c r="K140" s="110"/>
      <c r="L140" s="110"/>
    </row>
    <row r="141" spans="1:66" s="5" customFormat="1" ht="21" customHeight="1" thickBot="1" x14ac:dyDescent="0.25">
      <c r="A141" s="1548"/>
      <c r="B141" s="1548"/>
      <c r="C141" s="391" t="s">
        <v>2269</v>
      </c>
      <c r="D141" s="618"/>
      <c r="E141" s="618"/>
      <c r="F141" s="618"/>
      <c r="G141" s="618"/>
      <c r="H141" s="119"/>
      <c r="I141" s="119"/>
      <c r="J141" s="441"/>
      <c r="K141" s="110"/>
      <c r="L141" s="110"/>
    </row>
    <row r="142" spans="1:66" s="5" customFormat="1" ht="35.25" customHeight="1" thickBot="1" x14ac:dyDescent="0.25">
      <c r="A142" s="1350"/>
      <c r="B142" s="940"/>
      <c r="C142" s="1072" t="s">
        <v>2481</v>
      </c>
      <c r="D142" s="590"/>
      <c r="E142" s="507"/>
      <c r="F142" s="507"/>
      <c r="G142" s="285">
        <f>AVERAGE(MAX(1-FishPres,Fish11), AVERAGE(WindSumm, Toxic11, 1-RdDens1k, Dist2Road, Dist2DevCrop,Core1_11, Core2_11, BMP_11))</f>
        <v>0.7</v>
      </c>
      <c r="H142" s="119"/>
      <c r="I142" s="119"/>
      <c r="J142" s="441"/>
      <c r="K142" s="110"/>
      <c r="L142" s="110"/>
    </row>
    <row r="143" spans="1:66" s="5" customFormat="1" ht="21" customHeight="1" thickBot="1" x14ac:dyDescent="0.25">
      <c r="A143" s="1246"/>
      <c r="B143" s="1246"/>
      <c r="D143" s="827"/>
      <c r="E143" s="827"/>
      <c r="F143" s="827"/>
      <c r="G143" s="827"/>
      <c r="H143" s="119"/>
      <c r="I143" s="119"/>
      <c r="J143" s="441"/>
      <c r="K143" s="110"/>
      <c r="L143" s="110"/>
    </row>
    <row r="144" spans="1:66" s="5" customFormat="1" ht="21" customHeight="1" thickBot="1" x14ac:dyDescent="0.25">
      <c r="A144" s="1246"/>
      <c r="B144" s="1246"/>
      <c r="C144" s="639" t="s">
        <v>846</v>
      </c>
      <c r="H144" s="119"/>
      <c r="I144" s="119"/>
      <c r="J144" s="441"/>
      <c r="K144" s="110"/>
      <c r="L144" s="110"/>
    </row>
    <row r="145" spans="1:66" s="5" customFormat="1" ht="21" customHeight="1" thickBot="1" x14ac:dyDescent="0.25">
      <c r="A145" s="1246"/>
      <c r="B145" s="1246"/>
      <c r="C145" s="409" t="s">
        <v>514</v>
      </c>
      <c r="D145" s="1027"/>
      <c r="E145" s="1027"/>
      <c r="F145" s="1027"/>
      <c r="G145" s="1027"/>
      <c r="H145" s="119"/>
      <c r="I145" s="119"/>
      <c r="J145" s="441"/>
      <c r="K145" s="110"/>
      <c r="L145" s="110"/>
    </row>
    <row r="146" spans="1:66" s="5" customFormat="1" ht="30" customHeight="1" thickBot="1" x14ac:dyDescent="0.25">
      <c r="A146" s="1246"/>
      <c r="B146" s="1246"/>
      <c r="C146" s="83" t="s">
        <v>2502</v>
      </c>
      <c r="D146" s="507"/>
      <c r="E146" s="507"/>
      <c r="F146" s="507"/>
      <c r="G146" s="582">
        <f>IF((RareAM=1),10,10*AVERAGE(SensAm, Wettype11, HabStrucA1a, CfixA1a, StressA1a, LscapeAM))</f>
        <v>1.4</v>
      </c>
      <c r="H146" s="119"/>
      <c r="I146" s="119"/>
      <c r="J146" s="441"/>
      <c r="K146" s="110"/>
      <c r="L146" s="110"/>
    </row>
    <row r="147" spans="1:66" s="940" customFormat="1" ht="21" customHeight="1" thickBot="1" x14ac:dyDescent="0.25">
      <c r="A147" s="1246"/>
      <c r="B147" s="1246"/>
      <c r="D147" s="579"/>
      <c r="E147" s="597" t="s">
        <v>406</v>
      </c>
      <c r="F147" s="597"/>
      <c r="G147" s="597"/>
      <c r="H147" s="598"/>
      <c r="I147" s="824" t="s">
        <v>293</v>
      </c>
      <c r="J147" s="141"/>
      <c r="K147" s="110"/>
      <c r="L147" s="110"/>
      <c r="M147" s="110"/>
      <c r="N147" s="110"/>
      <c r="O147" s="110"/>
      <c r="P147" s="110"/>
      <c r="Q147" s="110"/>
    </row>
    <row r="148" spans="1:66" s="12" customFormat="1" ht="51" x14ac:dyDescent="0.2">
      <c r="A148" s="1550"/>
      <c r="B148" s="1550"/>
      <c r="C148" s="1589"/>
      <c r="D148" s="1657"/>
      <c r="E148" s="597"/>
      <c r="F148" s="597"/>
      <c r="G148" s="597"/>
      <c r="H148" s="598"/>
      <c r="I148" s="1421" t="s">
        <v>779</v>
      </c>
      <c r="J148" s="144"/>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row>
    <row r="149" spans="1:66" s="12" customFormat="1" ht="38.25" x14ac:dyDescent="0.3">
      <c r="A149" s="1664"/>
      <c r="B149" s="1665"/>
      <c r="C149" s="1653"/>
      <c r="D149" s="1629"/>
      <c r="E149" s="597"/>
      <c r="F149" s="597"/>
      <c r="G149" s="597"/>
      <c r="H149" s="598"/>
      <c r="I149" s="1403" t="s">
        <v>1182</v>
      </c>
      <c r="J149" s="144"/>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row>
    <row r="150" spans="1:66" s="12" customFormat="1" ht="38.25" x14ac:dyDescent="0.3">
      <c r="A150" s="1664"/>
      <c r="B150" s="1666"/>
      <c r="C150" s="1667"/>
      <c r="D150" s="1654"/>
      <c r="E150" s="597"/>
      <c r="F150" s="597"/>
      <c r="G150" s="597"/>
      <c r="H150" s="598"/>
      <c r="I150" s="1403" t="s">
        <v>1184</v>
      </c>
      <c r="J150" s="144"/>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row>
    <row r="151" spans="1:66" s="158" customFormat="1" ht="38.25" x14ac:dyDescent="0.3">
      <c r="A151" s="1664"/>
      <c r="B151" s="1666"/>
      <c r="C151" s="1667"/>
      <c r="D151" s="1654"/>
      <c r="E151" s="597"/>
      <c r="F151" s="597"/>
      <c r="G151" s="597"/>
      <c r="H151" s="598"/>
      <c r="I151" s="1431" t="s">
        <v>1102</v>
      </c>
      <c r="J151" s="157"/>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c r="AH151" s="156"/>
      <c r="AI151" s="156"/>
      <c r="AJ151" s="156"/>
      <c r="AK151" s="156"/>
      <c r="AL151" s="156"/>
      <c r="AM151" s="156"/>
      <c r="AN151" s="156"/>
      <c r="AO151" s="156"/>
      <c r="AP151" s="156"/>
      <c r="AQ151" s="156"/>
      <c r="AR151" s="156"/>
      <c r="AS151" s="156"/>
      <c r="AT151" s="156"/>
      <c r="AU151" s="156"/>
      <c r="AV151" s="156"/>
      <c r="AW151" s="156"/>
      <c r="AX151" s="156"/>
      <c r="AY151" s="156"/>
      <c r="AZ151" s="156"/>
      <c r="BA151" s="156"/>
      <c r="BB151" s="156"/>
      <c r="BC151" s="156"/>
      <c r="BD151" s="156"/>
      <c r="BE151" s="156"/>
      <c r="BF151" s="156"/>
      <c r="BG151" s="156"/>
      <c r="BH151" s="156"/>
      <c r="BI151" s="156"/>
      <c r="BJ151" s="156"/>
      <c r="BK151" s="156"/>
      <c r="BL151" s="156"/>
      <c r="BM151" s="156"/>
      <c r="BN151" s="156"/>
    </row>
    <row r="152" spans="1:66" s="158" customFormat="1" ht="38.25" x14ac:dyDescent="0.3">
      <c r="A152" s="1664"/>
      <c r="B152" s="1666"/>
      <c r="C152" s="1667"/>
      <c r="D152" s="1654"/>
      <c r="E152" s="597"/>
      <c r="F152" s="597"/>
      <c r="G152" s="597"/>
      <c r="H152" s="598"/>
      <c r="I152" s="1407" t="s">
        <v>780</v>
      </c>
      <c r="J152" s="157"/>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c r="BN152" s="156"/>
    </row>
    <row r="153" spans="1:66" s="158" customFormat="1" ht="38.25" x14ac:dyDescent="0.3">
      <c r="A153" s="1664"/>
      <c r="B153" s="1666"/>
      <c r="C153" s="1667"/>
      <c r="D153" s="1654"/>
      <c r="E153" s="597"/>
      <c r="F153" s="597"/>
      <c r="G153" s="597"/>
      <c r="H153" s="598"/>
      <c r="I153" s="1407" t="s">
        <v>781</v>
      </c>
      <c r="J153" s="157"/>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56"/>
      <c r="BG153" s="156"/>
      <c r="BH153" s="156"/>
      <c r="BI153" s="156"/>
      <c r="BJ153" s="156"/>
      <c r="BK153" s="156"/>
      <c r="BL153" s="156"/>
      <c r="BM153" s="156"/>
      <c r="BN153" s="156"/>
    </row>
    <row r="154" spans="1:66" s="158" customFormat="1" ht="25.5" x14ac:dyDescent="0.3">
      <c r="A154" s="1664"/>
      <c r="B154" s="1665"/>
      <c r="C154" s="1593"/>
      <c r="D154" s="1654"/>
      <c r="E154" s="597"/>
      <c r="F154" s="597"/>
      <c r="G154" s="597"/>
      <c r="H154" s="598"/>
      <c r="I154" s="1407" t="s">
        <v>782</v>
      </c>
      <c r="J154" s="157"/>
      <c r="K154" s="156"/>
      <c r="L154" s="156"/>
      <c r="M154" s="156" t="s">
        <v>406</v>
      </c>
      <c r="N154" s="156"/>
      <c r="O154" s="156"/>
      <c r="P154" s="156"/>
      <c r="Q154" s="156"/>
      <c r="R154" s="156"/>
      <c r="S154" s="156"/>
      <c r="T154" s="156"/>
      <c r="U154" s="156"/>
      <c r="V154" s="156"/>
      <c r="W154" s="156"/>
      <c r="X154" s="156"/>
      <c r="Y154" s="156"/>
      <c r="Z154" s="156"/>
      <c r="AA154" s="156"/>
      <c r="AB154" s="156"/>
      <c r="AC154" s="156"/>
      <c r="AD154" s="156"/>
      <c r="AE154" s="156"/>
      <c r="AF154" s="156"/>
      <c r="AG154" s="156"/>
      <c r="AH154" s="156"/>
      <c r="AI154" s="156"/>
      <c r="AJ154" s="156"/>
      <c r="AK154" s="156"/>
      <c r="AL154" s="156"/>
      <c r="AM154" s="156"/>
      <c r="AN154" s="156"/>
      <c r="AO154" s="156"/>
      <c r="AP154" s="156"/>
      <c r="AQ154" s="156"/>
      <c r="AR154" s="156"/>
      <c r="AS154" s="156"/>
      <c r="AT154" s="156"/>
      <c r="AU154" s="156"/>
      <c r="AV154" s="156"/>
      <c r="AW154" s="156"/>
      <c r="AX154" s="156"/>
      <c r="AY154" s="156"/>
      <c r="AZ154" s="156"/>
      <c r="BA154" s="156"/>
      <c r="BB154" s="156"/>
      <c r="BC154" s="156"/>
      <c r="BD154" s="156"/>
      <c r="BE154" s="156"/>
      <c r="BF154" s="156"/>
      <c r="BG154" s="156"/>
      <c r="BH154" s="156"/>
      <c r="BI154" s="156"/>
      <c r="BJ154" s="156"/>
      <c r="BK154" s="156"/>
      <c r="BL154" s="156"/>
      <c r="BM154" s="156"/>
      <c r="BN154" s="156"/>
    </row>
    <row r="155" spans="1:66" s="158" customFormat="1" ht="25.5" x14ac:dyDescent="0.2">
      <c r="A155" s="1664"/>
      <c r="B155" s="412"/>
      <c r="C155" s="588"/>
      <c r="D155" s="1554"/>
      <c r="E155" s="597"/>
      <c r="F155" s="597"/>
      <c r="G155" s="597"/>
      <c r="H155" s="598"/>
      <c r="I155" s="1407" t="s">
        <v>1861</v>
      </c>
      <c r="J155" s="157"/>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c r="BI155" s="156"/>
      <c r="BJ155" s="156"/>
      <c r="BK155" s="156"/>
      <c r="BL155" s="156"/>
      <c r="BM155" s="156"/>
      <c r="BN155" s="156"/>
    </row>
    <row r="156" spans="1:66" s="158" customFormat="1" ht="38.25" x14ac:dyDescent="0.2">
      <c r="A156" s="1664"/>
      <c r="B156" s="1467"/>
      <c r="C156" s="1464"/>
      <c r="D156" s="1554"/>
      <c r="E156" s="597"/>
      <c r="F156" s="597"/>
      <c r="G156" s="597"/>
      <c r="H156" s="598"/>
      <c r="I156" s="1407" t="s">
        <v>374</v>
      </c>
      <c r="J156" s="157"/>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56"/>
      <c r="AJ156" s="156"/>
      <c r="AK156" s="156"/>
      <c r="AL156" s="156"/>
      <c r="AM156" s="156"/>
      <c r="AN156" s="156"/>
      <c r="AO156" s="156"/>
      <c r="AP156" s="156"/>
      <c r="AQ156" s="156"/>
      <c r="AR156" s="156"/>
      <c r="AS156" s="156"/>
      <c r="AT156" s="156"/>
      <c r="AU156" s="156"/>
      <c r="AV156" s="156"/>
      <c r="AW156" s="156"/>
      <c r="AX156" s="156"/>
      <c r="AY156" s="156"/>
      <c r="AZ156" s="156"/>
      <c r="BA156" s="156"/>
      <c r="BB156" s="156"/>
      <c r="BC156" s="156"/>
      <c r="BD156" s="156"/>
      <c r="BE156" s="156"/>
      <c r="BF156" s="156"/>
      <c r="BG156" s="156"/>
      <c r="BH156" s="156"/>
      <c r="BI156" s="156"/>
      <c r="BJ156" s="156"/>
      <c r="BK156" s="156"/>
      <c r="BL156" s="156"/>
      <c r="BM156" s="156"/>
      <c r="BN156" s="156"/>
    </row>
    <row r="157" spans="1:66" s="940" customFormat="1" ht="42" customHeight="1" x14ac:dyDescent="0.3">
      <c r="A157" s="1664"/>
      <c r="B157" s="1665"/>
      <c r="C157" s="1653"/>
      <c r="D157" s="1554"/>
      <c r="E157" s="597"/>
      <c r="F157" s="597"/>
      <c r="G157" s="597"/>
      <c r="H157" s="598"/>
      <c r="I157" s="1407" t="s">
        <v>1862</v>
      </c>
      <c r="J157" s="141"/>
      <c r="K157" s="110"/>
      <c r="L157" s="110"/>
      <c r="M157" s="110"/>
      <c r="N157" s="110"/>
      <c r="O157" s="110"/>
      <c r="P157" s="110"/>
      <c r="Q157" s="110"/>
    </row>
    <row r="158" spans="1:66" s="940" customFormat="1" ht="38.25" x14ac:dyDescent="0.3">
      <c r="A158" s="1664"/>
      <c r="B158" s="1666"/>
      <c r="C158" s="1667"/>
      <c r="D158" s="1654"/>
      <c r="E158" s="597"/>
      <c r="F158" s="597"/>
      <c r="G158" s="597"/>
      <c r="H158" s="598"/>
      <c r="I158" s="1407" t="s">
        <v>783</v>
      </c>
      <c r="J158" s="141"/>
      <c r="K158" s="110"/>
      <c r="L158" s="110"/>
      <c r="M158" s="110"/>
      <c r="N158" s="110"/>
      <c r="O158" s="110"/>
      <c r="P158" s="110"/>
      <c r="Q158" s="110"/>
    </row>
    <row r="159" spans="1:66" s="940" customFormat="1" ht="38.25" x14ac:dyDescent="0.3">
      <c r="A159" s="1664"/>
      <c r="B159" s="1666"/>
      <c r="C159" s="1667"/>
      <c r="D159" s="1654"/>
      <c r="E159" s="597"/>
      <c r="F159" s="597"/>
      <c r="G159" s="597"/>
      <c r="H159" s="598"/>
      <c r="I159" s="816" t="s">
        <v>1101</v>
      </c>
      <c r="J159" s="141"/>
      <c r="K159" s="110"/>
      <c r="L159" s="110"/>
      <c r="M159" s="110"/>
      <c r="N159" s="110"/>
      <c r="O159" s="110"/>
      <c r="P159" s="110"/>
      <c r="Q159" s="110"/>
    </row>
    <row r="160" spans="1:66" s="940" customFormat="1" ht="44.25" customHeight="1" x14ac:dyDescent="0.3">
      <c r="A160" s="1664"/>
      <c r="B160" s="1666"/>
      <c r="C160" s="1667"/>
      <c r="D160" s="1654"/>
      <c r="E160" s="597"/>
      <c r="F160" s="597"/>
      <c r="G160" s="597"/>
      <c r="H160" s="598"/>
      <c r="I160" s="1431" t="s">
        <v>1096</v>
      </c>
      <c r="J160" s="141"/>
      <c r="K160" s="110"/>
      <c r="L160" s="110"/>
      <c r="M160" s="110"/>
      <c r="N160" s="110"/>
      <c r="O160" s="110"/>
      <c r="P160" s="110"/>
      <c r="Q160" s="110"/>
    </row>
    <row r="161" spans="1:66" s="940" customFormat="1" ht="25.5" x14ac:dyDescent="0.3">
      <c r="A161" s="1664"/>
      <c r="B161" s="1666"/>
      <c r="C161" s="1667"/>
      <c r="D161" s="1654"/>
      <c r="E161" s="597"/>
      <c r="F161" s="597"/>
      <c r="G161" s="597"/>
      <c r="H161" s="598"/>
      <c r="I161" s="1431" t="s">
        <v>1863</v>
      </c>
      <c r="J161" s="141"/>
      <c r="K161" s="110"/>
      <c r="L161" s="110"/>
      <c r="M161" s="110"/>
      <c r="N161" s="110"/>
      <c r="O161" s="110"/>
      <c r="P161" s="110"/>
      <c r="Q161" s="110"/>
    </row>
    <row r="162" spans="1:66" s="940" customFormat="1" ht="25.5" x14ac:dyDescent="0.3">
      <c r="A162" s="1664"/>
      <c r="B162" s="1665"/>
      <c r="C162" s="1667"/>
      <c r="D162" s="1654"/>
      <c r="E162" s="597"/>
      <c r="F162" s="597"/>
      <c r="G162" s="597"/>
      <c r="H162" s="598"/>
      <c r="I162" s="1407" t="s">
        <v>784</v>
      </c>
      <c r="J162" s="141"/>
      <c r="K162" s="110"/>
      <c r="L162" s="110"/>
      <c r="M162" s="110"/>
      <c r="N162" s="110"/>
      <c r="O162" s="110"/>
      <c r="P162" s="110"/>
      <c r="Q162" s="110"/>
    </row>
    <row r="163" spans="1:66" s="940" customFormat="1" ht="38.25" x14ac:dyDescent="0.2">
      <c r="A163" s="588"/>
      <c r="B163" s="588"/>
      <c r="C163" s="588"/>
      <c r="D163" s="588"/>
      <c r="E163" s="110"/>
      <c r="F163" s="110"/>
      <c r="G163" s="110"/>
      <c r="H163" s="1389"/>
      <c r="I163" s="1407" t="s">
        <v>1092</v>
      </c>
      <c r="J163" s="141"/>
      <c r="K163" s="110"/>
      <c r="L163" s="110"/>
      <c r="M163" s="110"/>
      <c r="N163" s="110"/>
      <c r="O163" s="110"/>
      <c r="P163" s="110"/>
      <c r="Q163" s="110"/>
    </row>
    <row r="164" spans="1:66" s="940" customFormat="1" ht="38.25" x14ac:dyDescent="0.2">
      <c r="A164" s="110"/>
      <c r="B164" s="110"/>
      <c r="C164" s="110"/>
      <c r="D164" s="110"/>
      <c r="E164" s="110"/>
      <c r="F164" s="110"/>
      <c r="G164" s="110"/>
      <c r="H164" s="1389"/>
      <c r="I164" s="841" t="s">
        <v>1093</v>
      </c>
      <c r="J164" s="141"/>
      <c r="K164" s="110"/>
      <c r="L164" s="110"/>
      <c r="M164" s="110"/>
      <c r="N164" s="110"/>
      <c r="O164" s="110"/>
      <c r="P164" s="110"/>
      <c r="Q164" s="110"/>
    </row>
    <row r="165" spans="1:66" s="110" customFormat="1" ht="38.25" x14ac:dyDescent="0.2">
      <c r="H165" s="1389"/>
      <c r="I165" s="1431" t="s">
        <v>1097</v>
      </c>
      <c r="J165" s="141"/>
    </row>
    <row r="166" spans="1:66" ht="25.5" x14ac:dyDescent="0.2">
      <c r="A166" s="110"/>
      <c r="B166" s="110"/>
      <c r="C166" s="110"/>
      <c r="D166" s="110"/>
      <c r="E166" s="110"/>
      <c r="F166" s="110"/>
      <c r="G166" s="110"/>
      <c r="H166" s="1389"/>
      <c r="I166" s="1431" t="s">
        <v>1095</v>
      </c>
      <c r="J166" s="144"/>
      <c r="K166" s="13"/>
      <c r="L166" s="13"/>
    </row>
    <row r="167" spans="1:66" s="12" customFormat="1" ht="38.25" x14ac:dyDescent="0.2">
      <c r="A167" s="110"/>
      <c r="B167" s="110"/>
      <c r="C167" s="110"/>
      <c r="D167" s="110"/>
      <c r="E167" s="110"/>
      <c r="F167" s="110"/>
      <c r="G167" s="110"/>
      <c r="H167" s="1389"/>
      <c r="I167" s="1431" t="s">
        <v>1864</v>
      </c>
      <c r="J167" s="144"/>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row>
    <row r="168" spans="1:66" s="12" customFormat="1" ht="38.25" x14ac:dyDescent="0.2">
      <c r="A168" s="110"/>
      <c r="B168" s="110"/>
      <c r="C168" s="110"/>
      <c r="D168" s="110"/>
      <c r="E168" s="110"/>
      <c r="F168" s="110"/>
      <c r="G168" s="110"/>
      <c r="H168" s="1389"/>
      <c r="I168" s="1408" t="s">
        <v>785</v>
      </c>
      <c r="J168" s="144"/>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row>
    <row r="169" spans="1:66" s="12" customFormat="1" ht="46.5" customHeight="1" x14ac:dyDescent="0.2">
      <c r="A169" s="19"/>
      <c r="B169" s="115"/>
      <c r="D169" s="286"/>
      <c r="E169" s="286"/>
      <c r="F169" s="209"/>
      <c r="G169" s="281"/>
      <c r="H169" s="126"/>
      <c r="I169" s="1407" t="s">
        <v>786</v>
      </c>
      <c r="J169" s="144"/>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row>
    <row r="170" spans="1:66" s="12" customFormat="1" ht="38.25" x14ac:dyDescent="0.2">
      <c r="A170" s="19"/>
      <c r="B170" s="115"/>
      <c r="D170" s="286"/>
      <c r="E170" s="286"/>
      <c r="F170" s="209"/>
      <c r="G170" s="281"/>
      <c r="H170" s="126"/>
      <c r="I170" s="816" t="s">
        <v>1865</v>
      </c>
      <c r="J170" s="144"/>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row>
    <row r="171" spans="1:66" s="12" customFormat="1" ht="39" thickBot="1" x14ac:dyDescent="0.25">
      <c r="A171" s="19"/>
      <c r="B171" s="115"/>
      <c r="D171" s="286"/>
      <c r="E171" s="286"/>
      <c r="F171" s="209"/>
      <c r="G171" s="281"/>
      <c r="H171" s="126"/>
      <c r="I171" s="1434" t="s">
        <v>1094</v>
      </c>
      <c r="J171" s="144"/>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row>
    <row r="172" spans="1:66" s="12" customFormat="1" x14ac:dyDescent="0.2">
      <c r="A172" s="19"/>
      <c r="B172" s="115"/>
      <c r="D172" s="286"/>
      <c r="E172" s="286"/>
      <c r="F172" s="209"/>
      <c r="G172" s="281"/>
      <c r="H172" s="126"/>
      <c r="I172" s="13"/>
      <c r="J172" s="144"/>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row>
    <row r="173" spans="1:66" s="12" customFormat="1" x14ac:dyDescent="0.2">
      <c r="A173" s="19"/>
      <c r="B173" s="115"/>
      <c r="D173" s="286"/>
      <c r="E173" s="286"/>
      <c r="F173" s="209"/>
      <c r="G173" s="281"/>
      <c r="H173" s="126"/>
      <c r="I173" s="13"/>
      <c r="J173" s="144"/>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row>
    <row r="174" spans="1:66" s="12" customFormat="1" x14ac:dyDescent="0.2">
      <c r="A174" s="19"/>
      <c r="B174" s="115"/>
      <c r="D174" s="286"/>
      <c r="E174" s="286"/>
      <c r="F174" s="209"/>
      <c r="G174" s="281"/>
      <c r="H174" s="126"/>
      <c r="I174" s="13"/>
      <c r="J174" s="144"/>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row>
    <row r="175" spans="1:66" s="12" customFormat="1" x14ac:dyDescent="0.2">
      <c r="A175" s="19"/>
      <c r="B175" s="115"/>
      <c r="D175" s="286"/>
      <c r="E175" s="286"/>
      <c r="F175" s="209"/>
      <c r="G175" s="281"/>
      <c r="H175" s="126"/>
      <c r="I175" s="13"/>
      <c r="J175" s="144"/>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row>
    <row r="176" spans="1:66" s="12" customFormat="1" x14ac:dyDescent="0.2">
      <c r="A176" s="19"/>
      <c r="B176" s="115"/>
      <c r="D176" s="286"/>
      <c r="E176" s="286"/>
      <c r="F176" s="209"/>
      <c r="G176" s="281"/>
      <c r="H176" s="126"/>
      <c r="I176" s="13"/>
      <c r="J176" s="144"/>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row>
    <row r="177" spans="1:66" s="12" customFormat="1" x14ac:dyDescent="0.2">
      <c r="A177" s="19"/>
      <c r="B177" s="123"/>
      <c r="C177" s="11"/>
      <c r="D177" s="249"/>
      <c r="E177" s="286"/>
      <c r="F177" s="209"/>
      <c r="G177" s="281"/>
      <c r="H177" s="126"/>
      <c r="I177" s="13"/>
      <c r="J177" s="144"/>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row>
    <row r="178" spans="1:66" s="12" customFormat="1" x14ac:dyDescent="0.2">
      <c r="A178" s="19"/>
      <c r="B178" s="123"/>
      <c r="C178" s="11"/>
      <c r="D178" s="249"/>
      <c r="E178" s="286"/>
      <c r="F178" s="209"/>
      <c r="G178" s="281"/>
      <c r="H178" s="126"/>
      <c r="I178" s="13"/>
      <c r="J178" s="144"/>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row>
    <row r="179" spans="1:66" x14ac:dyDescent="0.2">
      <c r="C179" s="11"/>
      <c r="F179" s="209"/>
      <c r="G179" s="281"/>
    </row>
    <row r="180" spans="1:66" x14ac:dyDescent="0.2">
      <c r="C180" s="11"/>
      <c r="F180" s="209"/>
      <c r="G180" s="281"/>
    </row>
    <row r="181" spans="1:66" x14ac:dyDescent="0.2">
      <c r="C181" s="11"/>
      <c r="F181" s="209"/>
      <c r="G181" s="281"/>
    </row>
    <row r="182" spans="1:66" x14ac:dyDescent="0.2">
      <c r="C182" s="11"/>
      <c r="F182" s="209"/>
      <c r="G182" s="281"/>
    </row>
    <row r="183" spans="1:66" x14ac:dyDescent="0.2">
      <c r="C183" s="11"/>
      <c r="F183" s="209"/>
      <c r="G183" s="281"/>
    </row>
    <row r="184" spans="1:66" x14ac:dyDescent="0.2">
      <c r="C184" s="11"/>
      <c r="F184" s="209"/>
      <c r="G184" s="281"/>
    </row>
    <row r="185" spans="1:66" x14ac:dyDescent="0.2">
      <c r="F185" s="209"/>
      <c r="G185" s="281"/>
    </row>
    <row r="186" spans="1:66" x14ac:dyDescent="0.2">
      <c r="F186" s="209"/>
      <c r="G186" s="281"/>
    </row>
    <row r="187" spans="1:66" x14ac:dyDescent="0.2">
      <c r="F187" s="209"/>
      <c r="G187" s="281"/>
    </row>
    <row r="188" spans="1:66" x14ac:dyDescent="0.2">
      <c r="F188" s="209"/>
      <c r="G188" s="281"/>
    </row>
    <row r="189" spans="1:66" x14ac:dyDescent="0.2">
      <c r="F189" s="209"/>
      <c r="G189" s="281"/>
    </row>
    <row r="190" spans="1:66" x14ac:dyDescent="0.2">
      <c r="F190" s="209"/>
      <c r="G190" s="281"/>
    </row>
    <row r="191" spans="1:66" x14ac:dyDescent="0.2">
      <c r="F191" s="209"/>
      <c r="G191" s="281"/>
    </row>
    <row r="192" spans="1:66" x14ac:dyDescent="0.2">
      <c r="F192" s="209"/>
      <c r="G192" s="281"/>
    </row>
    <row r="193" spans="6:7" x14ac:dyDescent="0.2">
      <c r="F193" s="209"/>
      <c r="G193" s="281"/>
    </row>
    <row r="194" spans="6:7" x14ac:dyDescent="0.2">
      <c r="F194" s="209"/>
      <c r="G194" s="281"/>
    </row>
    <row r="195" spans="6:7" x14ac:dyDescent="0.2">
      <c r="F195" s="209"/>
      <c r="G195" s="281"/>
    </row>
    <row r="196" spans="6:7" x14ac:dyDescent="0.2">
      <c r="F196" s="209"/>
      <c r="G196" s="281"/>
    </row>
    <row r="197" spans="6:7" x14ac:dyDescent="0.2">
      <c r="F197" s="209"/>
      <c r="G197" s="281"/>
    </row>
    <row r="198" spans="6:7" x14ac:dyDescent="0.2">
      <c r="F198" s="209"/>
      <c r="G198" s="281"/>
    </row>
    <row r="199" spans="6:7" x14ac:dyDescent="0.2">
      <c r="F199" s="209"/>
      <c r="G199" s="281"/>
    </row>
    <row r="200" spans="6:7" x14ac:dyDescent="0.2">
      <c r="F200" s="209"/>
      <c r="G200" s="281"/>
    </row>
    <row r="201" spans="6:7" x14ac:dyDescent="0.2">
      <c r="F201" s="209"/>
      <c r="G201" s="281"/>
    </row>
    <row r="202" spans="6:7" x14ac:dyDescent="0.2">
      <c r="F202" s="209"/>
      <c r="G202" s="281"/>
    </row>
    <row r="203" spans="6:7" x14ac:dyDescent="0.2">
      <c r="F203" s="209"/>
      <c r="G203" s="281"/>
    </row>
    <row r="204" spans="6:7" x14ac:dyDescent="0.2">
      <c r="F204" s="209"/>
      <c r="G204" s="281"/>
    </row>
    <row r="205" spans="6:7" x14ac:dyDescent="0.2">
      <c r="F205" s="209"/>
      <c r="G205" s="281"/>
    </row>
    <row r="206" spans="6:7" x14ac:dyDescent="0.2">
      <c r="F206" s="209"/>
      <c r="G206" s="281"/>
    </row>
    <row r="207" spans="6:7" x14ac:dyDescent="0.2">
      <c r="F207" s="209"/>
      <c r="G207" s="281"/>
    </row>
    <row r="208" spans="6:7" x14ac:dyDescent="0.2">
      <c r="F208" s="209"/>
      <c r="G208" s="281"/>
    </row>
    <row r="209" spans="6:7" x14ac:dyDescent="0.2">
      <c r="F209" s="209"/>
      <c r="G209" s="281"/>
    </row>
    <row r="210" spans="6:7" x14ac:dyDescent="0.2">
      <c r="F210" s="209"/>
      <c r="G210" s="281"/>
    </row>
    <row r="211" spans="6:7" x14ac:dyDescent="0.2">
      <c r="F211" s="209"/>
      <c r="G211" s="281"/>
    </row>
    <row r="212" spans="6:7" x14ac:dyDescent="0.2">
      <c r="F212" s="209"/>
      <c r="G212" s="281"/>
    </row>
    <row r="213" spans="6:7" x14ac:dyDescent="0.2">
      <c r="F213" s="209"/>
      <c r="G213" s="281"/>
    </row>
    <row r="214" spans="6:7" x14ac:dyDescent="0.2">
      <c r="F214" s="209"/>
      <c r="G214" s="281"/>
    </row>
    <row r="215" spans="6:7" x14ac:dyDescent="0.2">
      <c r="F215" s="209"/>
      <c r="G215" s="281"/>
    </row>
    <row r="216" spans="6:7" x14ac:dyDescent="0.2">
      <c r="F216" s="209"/>
      <c r="G216" s="281"/>
    </row>
    <row r="217" spans="6:7" x14ac:dyDescent="0.2">
      <c r="F217" s="209"/>
      <c r="G217" s="281"/>
    </row>
    <row r="218" spans="6:7" x14ac:dyDescent="0.2">
      <c r="F218" s="209"/>
      <c r="G218" s="281"/>
    </row>
    <row r="219" spans="6:7" x14ac:dyDescent="0.2">
      <c r="F219" s="209"/>
      <c r="G219" s="281"/>
    </row>
    <row r="220" spans="6:7" x14ac:dyDescent="0.2">
      <c r="F220" s="209"/>
      <c r="G220" s="281"/>
    </row>
    <row r="221" spans="6:7" x14ac:dyDescent="0.2">
      <c r="F221" s="209"/>
      <c r="G221" s="281"/>
    </row>
    <row r="222" spans="6:7" x14ac:dyDescent="0.2">
      <c r="F222" s="209"/>
      <c r="G222" s="281"/>
    </row>
    <row r="223" spans="6:7" x14ac:dyDescent="0.2">
      <c r="F223" s="209"/>
      <c r="G223" s="281"/>
    </row>
    <row r="224" spans="6:7" x14ac:dyDescent="0.2">
      <c r="F224" s="209"/>
      <c r="G224" s="281"/>
    </row>
    <row r="225" spans="6:7" x14ac:dyDescent="0.2">
      <c r="F225" s="209"/>
      <c r="G225" s="281"/>
    </row>
    <row r="226" spans="6:7" x14ac:dyDescent="0.2">
      <c r="F226" s="209"/>
      <c r="G226" s="281"/>
    </row>
    <row r="227" spans="6:7" x14ac:dyDescent="0.2">
      <c r="F227" s="209"/>
      <c r="G227" s="281"/>
    </row>
    <row r="228" spans="6:7" x14ac:dyDescent="0.2">
      <c r="F228" s="209"/>
      <c r="G228" s="281"/>
    </row>
    <row r="229" spans="6:7" x14ac:dyDescent="0.2">
      <c r="F229" s="209"/>
      <c r="G229" s="281"/>
    </row>
    <row r="230" spans="6:7" x14ac:dyDescent="0.2">
      <c r="F230" s="209"/>
      <c r="G230" s="281"/>
    </row>
    <row r="231" spans="6:7" x14ac:dyDescent="0.2">
      <c r="F231" s="209"/>
      <c r="G231" s="281"/>
    </row>
    <row r="232" spans="6:7" x14ac:dyDescent="0.2">
      <c r="F232" s="209"/>
      <c r="G232" s="281"/>
    </row>
    <row r="233" spans="6:7" x14ac:dyDescent="0.2">
      <c r="F233" s="209"/>
      <c r="G233" s="281"/>
    </row>
    <row r="234" spans="6:7" x14ac:dyDescent="0.2">
      <c r="F234" s="209"/>
      <c r="G234" s="281"/>
    </row>
    <row r="235" spans="6:7" x14ac:dyDescent="0.2">
      <c r="F235" s="209"/>
      <c r="G235" s="281"/>
    </row>
    <row r="236" spans="6:7" x14ac:dyDescent="0.2">
      <c r="F236" s="209"/>
      <c r="G236" s="281"/>
    </row>
    <row r="237" spans="6:7" x14ac:dyDescent="0.2">
      <c r="F237" s="209"/>
      <c r="G237" s="281"/>
    </row>
    <row r="238" spans="6:7" x14ac:dyDescent="0.2">
      <c r="F238" s="209"/>
      <c r="G238" s="281"/>
    </row>
    <row r="239" spans="6:7" x14ac:dyDescent="0.2">
      <c r="F239" s="209"/>
      <c r="G239" s="281"/>
    </row>
    <row r="240" spans="6:7" x14ac:dyDescent="0.2">
      <c r="F240" s="209"/>
      <c r="G240" s="281"/>
    </row>
    <row r="241" spans="6:7" x14ac:dyDescent="0.2">
      <c r="F241" s="209"/>
      <c r="G241" s="281"/>
    </row>
    <row r="242" spans="6:7" x14ac:dyDescent="0.2">
      <c r="F242" s="209"/>
      <c r="G242" s="281"/>
    </row>
    <row r="243" spans="6:7" x14ac:dyDescent="0.2">
      <c r="F243" s="209"/>
      <c r="G243" s="281"/>
    </row>
    <row r="244" spans="6:7" x14ac:dyDescent="0.2">
      <c r="F244" s="209"/>
      <c r="G244" s="281"/>
    </row>
    <row r="245" spans="6:7" x14ac:dyDescent="0.2">
      <c r="F245" s="209"/>
      <c r="G245" s="281"/>
    </row>
    <row r="246" spans="6:7" x14ac:dyDescent="0.2">
      <c r="F246" s="209"/>
      <c r="G246" s="281"/>
    </row>
    <row r="247" spans="6:7" x14ac:dyDescent="0.2">
      <c r="F247" s="209"/>
      <c r="G247" s="281"/>
    </row>
    <row r="248" spans="6:7" x14ac:dyDescent="0.2">
      <c r="F248" s="209"/>
      <c r="G248" s="281"/>
    </row>
    <row r="249" spans="6:7" x14ac:dyDescent="0.2">
      <c r="F249" s="209"/>
      <c r="G249" s="281"/>
    </row>
    <row r="250" spans="6:7" x14ac:dyDescent="0.2">
      <c r="F250" s="209"/>
      <c r="G250" s="281"/>
    </row>
    <row r="251" spans="6:7" x14ac:dyDescent="0.2">
      <c r="F251" s="209"/>
      <c r="G251" s="281"/>
    </row>
    <row r="252" spans="6:7" x14ac:dyDescent="0.2">
      <c r="F252" s="209"/>
      <c r="G252" s="281"/>
    </row>
    <row r="253" spans="6:7" x14ac:dyDescent="0.2">
      <c r="F253" s="209"/>
      <c r="G253" s="281"/>
    </row>
    <row r="254" spans="6:7" x14ac:dyDescent="0.2">
      <c r="F254" s="209"/>
      <c r="G254" s="281"/>
    </row>
    <row r="255" spans="6:7" x14ac:dyDescent="0.2">
      <c r="F255" s="209"/>
      <c r="G255" s="281"/>
    </row>
    <row r="256" spans="6:7" x14ac:dyDescent="0.2">
      <c r="F256" s="209"/>
      <c r="G256" s="281"/>
    </row>
    <row r="257" spans="6:7" x14ac:dyDescent="0.2">
      <c r="F257" s="209"/>
      <c r="G257" s="281"/>
    </row>
    <row r="258" spans="6:7" x14ac:dyDescent="0.2">
      <c r="F258" s="209"/>
      <c r="G258" s="281"/>
    </row>
    <row r="259" spans="6:7" x14ac:dyDescent="0.2">
      <c r="F259" s="209"/>
      <c r="G259" s="281"/>
    </row>
    <row r="260" spans="6:7" x14ac:dyDescent="0.2">
      <c r="F260" s="209"/>
      <c r="G260" s="281"/>
    </row>
    <row r="261" spans="6:7" x14ac:dyDescent="0.2">
      <c r="F261" s="209"/>
      <c r="G261" s="281"/>
    </row>
    <row r="262" spans="6:7" x14ac:dyDescent="0.2">
      <c r="F262" s="209"/>
      <c r="G262" s="281"/>
    </row>
    <row r="263" spans="6:7" x14ac:dyDescent="0.2">
      <c r="F263" s="209"/>
      <c r="G263" s="281"/>
    </row>
    <row r="264" spans="6:7" x14ac:dyDescent="0.2">
      <c r="F264" s="209"/>
      <c r="G264" s="281"/>
    </row>
    <row r="265" spans="6:7" x14ac:dyDescent="0.2">
      <c r="F265" s="209"/>
      <c r="G265" s="281"/>
    </row>
    <row r="266" spans="6:7" x14ac:dyDescent="0.2">
      <c r="F266" s="209"/>
      <c r="G266" s="281"/>
    </row>
    <row r="267" spans="6:7" x14ac:dyDescent="0.2">
      <c r="F267" s="209"/>
      <c r="G267" s="281"/>
    </row>
    <row r="268" spans="6:7" x14ac:dyDescent="0.2">
      <c r="F268" s="209"/>
      <c r="G268" s="281"/>
    </row>
    <row r="269" spans="6:7" x14ac:dyDescent="0.2">
      <c r="F269" s="209"/>
      <c r="G269" s="281"/>
    </row>
    <row r="270" spans="6:7" x14ac:dyDescent="0.2">
      <c r="F270" s="209"/>
      <c r="G270" s="281"/>
    </row>
    <row r="271" spans="6:7" x14ac:dyDescent="0.2">
      <c r="F271" s="209"/>
      <c r="G271" s="281"/>
    </row>
    <row r="272" spans="6:7" x14ac:dyDescent="0.2">
      <c r="F272" s="209"/>
      <c r="G272" s="281"/>
    </row>
    <row r="273" spans="6:7" x14ac:dyDescent="0.2">
      <c r="F273" s="209"/>
      <c r="G273" s="281"/>
    </row>
    <row r="274" spans="6:7" x14ac:dyDescent="0.2">
      <c r="F274" s="209"/>
      <c r="G274" s="281"/>
    </row>
    <row r="275" spans="6:7" x14ac:dyDescent="0.2">
      <c r="F275" s="209"/>
      <c r="G275" s="281"/>
    </row>
    <row r="276" spans="6:7" x14ac:dyDescent="0.2">
      <c r="F276" s="209"/>
      <c r="G276" s="281"/>
    </row>
    <row r="277" spans="6:7" x14ac:dyDescent="0.2">
      <c r="F277" s="209"/>
      <c r="G277" s="281"/>
    </row>
    <row r="278" spans="6:7" x14ac:dyDescent="0.2">
      <c r="F278" s="209"/>
      <c r="G278" s="281"/>
    </row>
    <row r="279" spans="6:7" x14ac:dyDescent="0.2">
      <c r="F279" s="209"/>
      <c r="G279" s="281"/>
    </row>
    <row r="280" spans="6:7" x14ac:dyDescent="0.2">
      <c r="F280" s="209"/>
      <c r="G280" s="281"/>
    </row>
    <row r="281" spans="6:7" x14ac:dyDescent="0.2">
      <c r="F281" s="209"/>
      <c r="G281" s="281"/>
    </row>
    <row r="282" spans="6:7" x14ac:dyDescent="0.2">
      <c r="F282" s="209"/>
      <c r="G282" s="281"/>
    </row>
    <row r="283" spans="6:7" x14ac:dyDescent="0.2">
      <c r="F283" s="209"/>
      <c r="G283" s="281"/>
    </row>
    <row r="284" spans="6:7" x14ac:dyDescent="0.2">
      <c r="F284" s="209"/>
      <c r="G284" s="281"/>
    </row>
    <row r="285" spans="6:7" x14ac:dyDescent="0.2">
      <c r="F285" s="209"/>
      <c r="G285" s="281"/>
    </row>
    <row r="286" spans="6:7" x14ac:dyDescent="0.2">
      <c r="F286" s="209"/>
      <c r="G286" s="281"/>
    </row>
    <row r="287" spans="6:7" x14ac:dyDescent="0.2">
      <c r="F287" s="209"/>
      <c r="G287" s="281"/>
    </row>
    <row r="288" spans="6:7" x14ac:dyDescent="0.2">
      <c r="F288" s="209"/>
      <c r="G288" s="281"/>
    </row>
    <row r="289" spans="6:7" x14ac:dyDescent="0.2">
      <c r="F289" s="209"/>
      <c r="G289" s="281"/>
    </row>
    <row r="290" spans="6:7" x14ac:dyDescent="0.2">
      <c r="F290" s="209"/>
      <c r="G290" s="281"/>
    </row>
    <row r="291" spans="6:7" x14ac:dyDescent="0.2">
      <c r="F291" s="209"/>
      <c r="G291" s="281"/>
    </row>
    <row r="292" spans="6:7" x14ac:dyDescent="0.2">
      <c r="F292" s="209"/>
      <c r="G292" s="281"/>
    </row>
    <row r="293" spans="6:7" x14ac:dyDescent="0.2">
      <c r="F293" s="209"/>
      <c r="G293" s="281"/>
    </row>
    <row r="294" spans="6:7" x14ac:dyDescent="0.2">
      <c r="F294" s="209"/>
      <c r="G294" s="281"/>
    </row>
    <row r="295" spans="6:7" x14ac:dyDescent="0.2">
      <c r="F295" s="209"/>
      <c r="G295" s="281"/>
    </row>
    <row r="296" spans="6:7" x14ac:dyDescent="0.2">
      <c r="F296" s="209"/>
      <c r="G296" s="281"/>
    </row>
    <row r="297" spans="6:7" x14ac:dyDescent="0.2">
      <c r="F297" s="209"/>
      <c r="G297" s="281"/>
    </row>
    <row r="298" spans="6:7" x14ac:dyDescent="0.2">
      <c r="F298" s="209"/>
      <c r="G298" s="281"/>
    </row>
    <row r="299" spans="6:7" x14ac:dyDescent="0.2">
      <c r="F299" s="209"/>
      <c r="G299" s="281"/>
    </row>
    <row r="300" spans="6:7" x14ac:dyDescent="0.2">
      <c r="F300" s="209"/>
      <c r="G300" s="281"/>
    </row>
    <row r="301" spans="6:7" x14ac:dyDescent="0.2">
      <c r="F301" s="209"/>
      <c r="G301" s="281"/>
    </row>
    <row r="302" spans="6:7" x14ac:dyDescent="0.2">
      <c r="F302" s="209"/>
      <c r="G302" s="281"/>
    </row>
    <row r="303" spans="6:7" x14ac:dyDescent="0.2">
      <c r="F303" s="209"/>
      <c r="G303" s="281"/>
    </row>
    <row r="304" spans="6:7" x14ac:dyDescent="0.2">
      <c r="F304" s="209"/>
      <c r="G304" s="281"/>
    </row>
    <row r="305" spans="6:7" x14ac:dyDescent="0.2">
      <c r="F305" s="209"/>
      <c r="G305" s="281"/>
    </row>
    <row r="306" spans="6:7" x14ac:dyDescent="0.2">
      <c r="F306" s="209"/>
      <c r="G306" s="281"/>
    </row>
    <row r="307" spans="6:7" x14ac:dyDescent="0.2">
      <c r="F307" s="209"/>
      <c r="G307" s="281"/>
    </row>
    <row r="308" spans="6:7" x14ac:dyDescent="0.2">
      <c r="F308" s="209"/>
      <c r="G308" s="281"/>
    </row>
    <row r="309" spans="6:7" x14ac:dyDescent="0.2">
      <c r="F309" s="209"/>
      <c r="G309" s="281"/>
    </row>
    <row r="310" spans="6:7" x14ac:dyDescent="0.2">
      <c r="F310" s="209"/>
      <c r="G310" s="281"/>
    </row>
    <row r="311" spans="6:7" x14ac:dyDescent="0.2">
      <c r="F311" s="209"/>
      <c r="G311" s="281"/>
    </row>
    <row r="312" spans="6:7" x14ac:dyDescent="0.2">
      <c r="F312" s="209"/>
      <c r="G312" s="281"/>
    </row>
    <row r="313" spans="6:7" x14ac:dyDescent="0.2">
      <c r="F313" s="209"/>
      <c r="G313" s="281"/>
    </row>
    <row r="314" spans="6:7" x14ac:dyDescent="0.2">
      <c r="F314" s="209"/>
      <c r="G314" s="281"/>
    </row>
    <row r="315" spans="6:7" x14ac:dyDescent="0.2">
      <c r="F315" s="209"/>
      <c r="G315" s="281"/>
    </row>
    <row r="316" spans="6:7" x14ac:dyDescent="0.2">
      <c r="F316" s="209"/>
      <c r="G316" s="281"/>
    </row>
    <row r="317" spans="6:7" x14ac:dyDescent="0.2">
      <c r="F317" s="209"/>
      <c r="G317" s="281"/>
    </row>
    <row r="318" spans="6:7" x14ac:dyDescent="0.2">
      <c r="F318" s="209"/>
      <c r="G318" s="281"/>
    </row>
    <row r="319" spans="6:7" x14ac:dyDescent="0.2">
      <c r="F319" s="209"/>
      <c r="G319" s="281"/>
    </row>
    <row r="320" spans="6:7" x14ac:dyDescent="0.2">
      <c r="F320" s="209"/>
      <c r="G320" s="281"/>
    </row>
    <row r="321" spans="6:7" x14ac:dyDescent="0.2">
      <c r="F321" s="209"/>
      <c r="G321" s="281"/>
    </row>
    <row r="322" spans="6:7" x14ac:dyDescent="0.2">
      <c r="F322" s="209"/>
      <c r="G322" s="281"/>
    </row>
    <row r="323" spans="6:7" x14ac:dyDescent="0.2">
      <c r="F323" s="209"/>
      <c r="G323" s="281"/>
    </row>
    <row r="324" spans="6:7" x14ac:dyDescent="0.2">
      <c r="F324" s="209"/>
      <c r="G324" s="281"/>
    </row>
    <row r="325" spans="6:7" x14ac:dyDescent="0.2">
      <c r="F325" s="209"/>
      <c r="G325" s="281"/>
    </row>
    <row r="326" spans="6:7" x14ac:dyDescent="0.2">
      <c r="F326" s="209"/>
      <c r="G326" s="281"/>
    </row>
    <row r="327" spans="6:7" x14ac:dyDescent="0.2">
      <c r="F327" s="209"/>
      <c r="G327" s="281"/>
    </row>
    <row r="328" spans="6:7" x14ac:dyDescent="0.2">
      <c r="F328" s="209"/>
      <c r="G328" s="281"/>
    </row>
    <row r="329" spans="6:7" x14ac:dyDescent="0.2">
      <c r="F329" s="209"/>
      <c r="G329" s="281"/>
    </row>
    <row r="330" spans="6:7" x14ac:dyDescent="0.2">
      <c r="F330" s="209"/>
      <c r="G330" s="281"/>
    </row>
    <row r="331" spans="6:7" x14ac:dyDescent="0.2">
      <c r="F331" s="209"/>
      <c r="G331" s="281"/>
    </row>
    <row r="332" spans="6:7" x14ac:dyDescent="0.2">
      <c r="F332" s="209"/>
      <c r="G332" s="281"/>
    </row>
    <row r="333" spans="6:7" x14ac:dyDescent="0.2">
      <c r="F333" s="209"/>
      <c r="G333" s="281"/>
    </row>
    <row r="334" spans="6:7" x14ac:dyDescent="0.2">
      <c r="F334" s="209"/>
      <c r="G334" s="281"/>
    </row>
    <row r="335" spans="6:7" x14ac:dyDescent="0.2">
      <c r="F335" s="209"/>
      <c r="G335" s="281"/>
    </row>
    <row r="336" spans="6:7" x14ac:dyDescent="0.2">
      <c r="F336" s="209"/>
      <c r="G336" s="281"/>
    </row>
    <row r="337" spans="6:7" x14ac:dyDescent="0.2">
      <c r="F337" s="209"/>
      <c r="G337" s="281"/>
    </row>
    <row r="338" spans="6:7" x14ac:dyDescent="0.2">
      <c r="F338" s="209"/>
      <c r="G338" s="281"/>
    </row>
    <row r="339" spans="6:7" x14ac:dyDescent="0.2">
      <c r="F339" s="209"/>
      <c r="G339" s="281"/>
    </row>
    <row r="340" spans="6:7" x14ac:dyDescent="0.2">
      <c r="F340" s="209"/>
      <c r="G340" s="281"/>
    </row>
    <row r="341" spans="6:7" x14ac:dyDescent="0.2">
      <c r="F341" s="209"/>
      <c r="G341" s="281"/>
    </row>
    <row r="342" spans="6:7" x14ac:dyDescent="0.2">
      <c r="F342" s="209"/>
      <c r="G342" s="281"/>
    </row>
    <row r="343" spans="6:7" x14ac:dyDescent="0.2">
      <c r="F343" s="209"/>
      <c r="G343" s="281"/>
    </row>
    <row r="344" spans="6:7" x14ac:dyDescent="0.2">
      <c r="F344" s="209"/>
      <c r="G344" s="281"/>
    </row>
    <row r="345" spans="6:7" x14ac:dyDescent="0.2">
      <c r="F345" s="209"/>
      <c r="G345" s="281"/>
    </row>
    <row r="346" spans="6:7" x14ac:dyDescent="0.2">
      <c r="F346" s="209"/>
      <c r="G346" s="281"/>
    </row>
    <row r="347" spans="6:7" x14ac:dyDescent="0.2">
      <c r="F347" s="209"/>
      <c r="G347" s="281"/>
    </row>
    <row r="348" spans="6:7" x14ac:dyDescent="0.2">
      <c r="F348" s="209"/>
      <c r="G348" s="281"/>
    </row>
    <row r="349" spans="6:7" x14ac:dyDescent="0.2">
      <c r="F349" s="209"/>
      <c r="G349" s="281"/>
    </row>
    <row r="350" spans="6:7" x14ac:dyDescent="0.2">
      <c r="F350" s="209"/>
      <c r="G350" s="281"/>
    </row>
    <row r="351" spans="6:7" x14ac:dyDescent="0.2">
      <c r="F351" s="209"/>
      <c r="G351" s="281"/>
    </row>
    <row r="352" spans="6:7" x14ac:dyDescent="0.2">
      <c r="F352" s="209"/>
      <c r="G352" s="281"/>
    </row>
    <row r="353" spans="6:7" x14ac:dyDescent="0.2">
      <c r="F353" s="209"/>
      <c r="G353" s="281"/>
    </row>
    <row r="354" spans="6:7" x14ac:dyDescent="0.2">
      <c r="F354" s="209"/>
      <c r="G354" s="281"/>
    </row>
    <row r="355" spans="6:7" x14ac:dyDescent="0.2">
      <c r="F355" s="209"/>
      <c r="G355" s="281"/>
    </row>
    <row r="356" spans="6:7" x14ac:dyDescent="0.2">
      <c r="F356" s="209"/>
      <c r="G356" s="281"/>
    </row>
    <row r="357" spans="6:7" x14ac:dyDescent="0.2">
      <c r="F357" s="209"/>
      <c r="G357" s="281"/>
    </row>
    <row r="358" spans="6:7" x14ac:dyDescent="0.2">
      <c r="F358" s="209"/>
      <c r="G358" s="281"/>
    </row>
    <row r="359" spans="6:7" x14ac:dyDescent="0.2">
      <c r="F359" s="209"/>
      <c r="G359" s="281"/>
    </row>
    <row r="360" spans="6:7" x14ac:dyDescent="0.2">
      <c r="F360" s="209"/>
      <c r="G360" s="281"/>
    </row>
    <row r="361" spans="6:7" x14ac:dyDescent="0.2">
      <c r="F361" s="209"/>
      <c r="G361" s="281"/>
    </row>
    <row r="362" spans="6:7" x14ac:dyDescent="0.2">
      <c r="F362" s="209"/>
      <c r="G362" s="281"/>
    </row>
    <row r="363" spans="6:7" x14ac:dyDescent="0.2">
      <c r="F363" s="209"/>
      <c r="G363" s="281"/>
    </row>
    <row r="364" spans="6:7" x14ac:dyDescent="0.2">
      <c r="F364" s="209"/>
      <c r="G364" s="281"/>
    </row>
    <row r="365" spans="6:7" x14ac:dyDescent="0.2">
      <c r="F365" s="209"/>
      <c r="G365" s="281"/>
    </row>
    <row r="366" spans="6:7" x14ac:dyDescent="0.2">
      <c r="F366" s="209"/>
      <c r="G366" s="281"/>
    </row>
    <row r="367" spans="6:7" x14ac:dyDescent="0.2">
      <c r="F367" s="209"/>
      <c r="G367" s="281"/>
    </row>
    <row r="368" spans="6:7" x14ac:dyDescent="0.2">
      <c r="F368" s="209"/>
      <c r="G368" s="281"/>
    </row>
    <row r="369" spans="6:7" x14ac:dyDescent="0.2">
      <c r="F369" s="209"/>
      <c r="G369" s="281"/>
    </row>
    <row r="370" spans="6:7" x14ac:dyDescent="0.2">
      <c r="F370" s="209"/>
      <c r="G370" s="281"/>
    </row>
    <row r="371" spans="6:7" x14ac:dyDescent="0.2">
      <c r="F371" s="209"/>
      <c r="G371" s="281"/>
    </row>
    <row r="372" spans="6:7" x14ac:dyDescent="0.2">
      <c r="F372" s="209"/>
      <c r="G372" s="281"/>
    </row>
    <row r="373" spans="6:7" x14ac:dyDescent="0.2">
      <c r="F373" s="209"/>
      <c r="G373" s="281"/>
    </row>
    <row r="374" spans="6:7" x14ac:dyDescent="0.2">
      <c r="F374" s="209"/>
      <c r="G374" s="281"/>
    </row>
    <row r="375" spans="6:7" x14ac:dyDescent="0.2">
      <c r="F375" s="209"/>
      <c r="G375" s="281"/>
    </row>
    <row r="376" spans="6:7" x14ac:dyDescent="0.2">
      <c r="F376" s="209"/>
      <c r="G376" s="281"/>
    </row>
    <row r="377" spans="6:7" x14ac:dyDescent="0.2">
      <c r="F377" s="209"/>
      <c r="G377" s="281"/>
    </row>
    <row r="378" spans="6:7" x14ac:dyDescent="0.2">
      <c r="F378" s="209"/>
      <c r="G378" s="281"/>
    </row>
    <row r="379" spans="6:7" x14ac:dyDescent="0.2">
      <c r="F379" s="209"/>
      <c r="G379" s="281"/>
    </row>
    <row r="380" spans="6:7" x14ac:dyDescent="0.2">
      <c r="F380" s="209"/>
      <c r="G380" s="281"/>
    </row>
    <row r="381" spans="6:7" x14ac:dyDescent="0.2">
      <c r="F381" s="209"/>
      <c r="G381" s="281"/>
    </row>
    <row r="382" spans="6:7" x14ac:dyDescent="0.2">
      <c r="F382" s="209"/>
      <c r="G382" s="281"/>
    </row>
    <row r="383" spans="6:7" x14ac:dyDescent="0.2">
      <c r="F383" s="209"/>
      <c r="G383" s="281"/>
    </row>
    <row r="384" spans="6:7" x14ac:dyDescent="0.2">
      <c r="F384" s="209"/>
      <c r="G384" s="281"/>
    </row>
    <row r="385" spans="6:7" x14ac:dyDescent="0.2">
      <c r="F385" s="209"/>
      <c r="G385" s="281"/>
    </row>
    <row r="386" spans="6:7" x14ac:dyDescent="0.2">
      <c r="F386" s="209"/>
      <c r="G386" s="281"/>
    </row>
    <row r="387" spans="6:7" x14ac:dyDescent="0.2">
      <c r="F387" s="209"/>
      <c r="G387" s="281"/>
    </row>
    <row r="388" spans="6:7" x14ac:dyDescent="0.2">
      <c r="F388" s="209"/>
      <c r="G388" s="281"/>
    </row>
    <row r="389" spans="6:7" x14ac:dyDescent="0.2">
      <c r="F389" s="209"/>
      <c r="G389" s="281"/>
    </row>
    <row r="390" spans="6:7" x14ac:dyDescent="0.2">
      <c r="F390" s="209"/>
      <c r="G390" s="281"/>
    </row>
    <row r="391" spans="6:7" x14ac:dyDescent="0.2">
      <c r="F391" s="209"/>
      <c r="G391" s="281"/>
    </row>
    <row r="392" spans="6:7" x14ac:dyDescent="0.2">
      <c r="F392" s="209"/>
      <c r="G392" s="281"/>
    </row>
    <row r="393" spans="6:7" x14ac:dyDescent="0.2">
      <c r="F393" s="209"/>
      <c r="G393" s="281"/>
    </row>
    <row r="394" spans="6:7" x14ac:dyDescent="0.2">
      <c r="F394" s="209"/>
      <c r="G394" s="281"/>
    </row>
    <row r="395" spans="6:7" x14ac:dyDescent="0.2">
      <c r="F395" s="209"/>
      <c r="G395" s="281"/>
    </row>
    <row r="396" spans="6:7" x14ac:dyDescent="0.2">
      <c r="F396" s="209"/>
      <c r="G396" s="281"/>
    </row>
    <row r="397" spans="6:7" x14ac:dyDescent="0.2">
      <c r="F397" s="209"/>
      <c r="G397" s="281"/>
    </row>
    <row r="398" spans="6:7" x14ac:dyDescent="0.2">
      <c r="F398" s="209"/>
      <c r="G398" s="281"/>
    </row>
    <row r="399" spans="6:7" x14ac:dyDescent="0.2">
      <c r="F399" s="209"/>
      <c r="G399" s="281"/>
    </row>
    <row r="400" spans="6:7" x14ac:dyDescent="0.2">
      <c r="F400" s="209"/>
      <c r="G400" s="281"/>
    </row>
    <row r="401" spans="6:7" x14ac:dyDescent="0.2">
      <c r="F401" s="209"/>
      <c r="G401" s="281"/>
    </row>
    <row r="402" spans="6:7" x14ac:dyDescent="0.2">
      <c r="F402" s="209"/>
      <c r="G402" s="281"/>
    </row>
    <row r="403" spans="6:7" x14ac:dyDescent="0.2">
      <c r="F403" s="209"/>
      <c r="G403" s="281"/>
    </row>
    <row r="404" spans="6:7" x14ac:dyDescent="0.2">
      <c r="F404" s="209"/>
      <c r="G404" s="281"/>
    </row>
    <row r="405" spans="6:7" x14ac:dyDescent="0.2">
      <c r="F405" s="209"/>
      <c r="G405" s="281"/>
    </row>
    <row r="406" spans="6:7" x14ac:dyDescent="0.2">
      <c r="F406" s="209"/>
      <c r="G406" s="281"/>
    </row>
    <row r="407" spans="6:7" x14ac:dyDescent="0.2">
      <c r="F407" s="209"/>
      <c r="G407" s="281"/>
    </row>
    <row r="408" spans="6:7" x14ac:dyDescent="0.2">
      <c r="F408" s="209"/>
      <c r="G408" s="281"/>
    </row>
    <row r="409" spans="6:7" x14ac:dyDescent="0.2">
      <c r="F409" s="209"/>
      <c r="G409" s="281"/>
    </row>
    <row r="410" spans="6:7" x14ac:dyDescent="0.2">
      <c r="F410" s="209"/>
      <c r="G410" s="281"/>
    </row>
    <row r="411" spans="6:7" x14ac:dyDescent="0.2">
      <c r="F411" s="209"/>
      <c r="G411" s="281"/>
    </row>
    <row r="412" spans="6:7" x14ac:dyDescent="0.2">
      <c r="F412" s="209"/>
      <c r="G412" s="281"/>
    </row>
    <row r="413" spans="6:7" x14ac:dyDescent="0.2">
      <c r="F413" s="209"/>
      <c r="G413" s="281"/>
    </row>
    <row r="414" spans="6:7" x14ac:dyDescent="0.2">
      <c r="F414" s="209"/>
      <c r="G414" s="281"/>
    </row>
    <row r="415" spans="6:7" x14ac:dyDescent="0.2">
      <c r="F415" s="209"/>
      <c r="G415" s="281"/>
    </row>
    <row r="416" spans="6:7" x14ac:dyDescent="0.2">
      <c r="F416" s="209"/>
      <c r="G416" s="281"/>
    </row>
    <row r="417" spans="6:7" x14ac:dyDescent="0.2">
      <c r="F417" s="209"/>
      <c r="G417" s="281"/>
    </row>
    <row r="418" spans="6:7" x14ac:dyDescent="0.2">
      <c r="F418" s="209"/>
      <c r="G418" s="281"/>
    </row>
    <row r="419" spans="6:7" x14ac:dyDescent="0.2">
      <c r="F419" s="209"/>
      <c r="G419" s="281"/>
    </row>
    <row r="420" spans="6:7" x14ac:dyDescent="0.2">
      <c r="F420" s="209"/>
      <c r="G420" s="281"/>
    </row>
    <row r="421" spans="6:7" x14ac:dyDescent="0.2">
      <c r="F421" s="209"/>
      <c r="G421" s="281"/>
    </row>
    <row r="422" spans="6:7" x14ac:dyDescent="0.2">
      <c r="F422" s="209"/>
      <c r="G422" s="281"/>
    </row>
    <row r="423" spans="6:7" x14ac:dyDescent="0.2">
      <c r="F423" s="209"/>
      <c r="G423" s="281"/>
    </row>
    <row r="424" spans="6:7" x14ac:dyDescent="0.2">
      <c r="F424" s="209"/>
      <c r="G424" s="281"/>
    </row>
    <row r="425" spans="6:7" x14ac:dyDescent="0.2">
      <c r="F425" s="209"/>
      <c r="G425" s="281"/>
    </row>
    <row r="426" spans="6:7" x14ac:dyDescent="0.2">
      <c r="F426" s="209"/>
      <c r="G426" s="281"/>
    </row>
    <row r="427" spans="6:7" x14ac:dyDescent="0.2">
      <c r="F427" s="209"/>
      <c r="G427" s="281"/>
    </row>
    <row r="428" spans="6:7" x14ac:dyDescent="0.2">
      <c r="F428" s="209"/>
      <c r="G428" s="281"/>
    </row>
    <row r="429" spans="6:7" x14ac:dyDescent="0.2">
      <c r="F429" s="209"/>
      <c r="G429" s="281"/>
    </row>
    <row r="430" spans="6:7" x14ac:dyDescent="0.2">
      <c r="F430" s="209"/>
      <c r="G430" s="281"/>
    </row>
    <row r="431" spans="6:7" x14ac:dyDescent="0.2">
      <c r="F431" s="209"/>
      <c r="G431" s="281"/>
    </row>
    <row r="432" spans="6:7" x14ac:dyDescent="0.2">
      <c r="F432" s="209"/>
      <c r="G432" s="281"/>
    </row>
    <row r="433" spans="6:7" x14ac:dyDescent="0.2">
      <c r="F433" s="209"/>
      <c r="G433" s="281"/>
    </row>
    <row r="434" spans="6:7" x14ac:dyDescent="0.2">
      <c r="F434" s="209"/>
      <c r="G434" s="281"/>
    </row>
    <row r="435" spans="6:7" x14ac:dyDescent="0.2">
      <c r="F435" s="209"/>
      <c r="G435" s="281"/>
    </row>
    <row r="436" spans="6:7" x14ac:dyDescent="0.2">
      <c r="F436" s="209"/>
      <c r="G436" s="281"/>
    </row>
    <row r="437" spans="6:7" x14ac:dyDescent="0.2">
      <c r="F437" s="209"/>
      <c r="G437" s="281"/>
    </row>
    <row r="438" spans="6:7" x14ac:dyDescent="0.2">
      <c r="F438" s="209"/>
      <c r="G438" s="281"/>
    </row>
    <row r="439" spans="6:7" x14ac:dyDescent="0.2">
      <c r="F439" s="209"/>
      <c r="G439" s="281"/>
    </row>
    <row r="440" spans="6:7" x14ac:dyDescent="0.2">
      <c r="F440" s="209"/>
      <c r="G440" s="281"/>
    </row>
    <row r="441" spans="6:7" x14ac:dyDescent="0.2">
      <c r="F441" s="209"/>
      <c r="G441" s="281"/>
    </row>
    <row r="442" spans="6:7" x14ac:dyDescent="0.2">
      <c r="F442" s="209"/>
      <c r="G442" s="281"/>
    </row>
    <row r="443" spans="6:7" x14ac:dyDescent="0.2">
      <c r="F443" s="209"/>
      <c r="G443" s="281"/>
    </row>
    <row r="444" spans="6:7" x14ac:dyDescent="0.2">
      <c r="F444" s="209"/>
      <c r="G444" s="281"/>
    </row>
    <row r="445" spans="6:7" x14ac:dyDescent="0.2">
      <c r="F445" s="209"/>
      <c r="G445" s="281"/>
    </row>
    <row r="446" spans="6:7" x14ac:dyDescent="0.2">
      <c r="F446" s="209"/>
      <c r="G446" s="281"/>
    </row>
    <row r="447" spans="6:7" x14ac:dyDescent="0.2">
      <c r="F447" s="209"/>
      <c r="G447" s="281"/>
    </row>
    <row r="448" spans="6:7" x14ac:dyDescent="0.2">
      <c r="F448" s="209"/>
      <c r="G448" s="281"/>
    </row>
    <row r="449" spans="6:7" x14ac:dyDescent="0.2">
      <c r="F449" s="209"/>
      <c r="G449" s="281"/>
    </row>
    <row r="450" spans="6:7" x14ac:dyDescent="0.2">
      <c r="F450" s="209"/>
      <c r="G450" s="281"/>
    </row>
    <row r="451" spans="6:7" x14ac:dyDescent="0.2">
      <c r="F451" s="209"/>
      <c r="G451" s="281"/>
    </row>
    <row r="452" spans="6:7" x14ac:dyDescent="0.2">
      <c r="F452" s="209"/>
      <c r="G452" s="281"/>
    </row>
    <row r="453" spans="6:7" x14ac:dyDescent="0.2">
      <c r="F453" s="209"/>
      <c r="G453" s="281"/>
    </row>
    <row r="454" spans="6:7" x14ac:dyDescent="0.2">
      <c r="F454" s="209"/>
      <c r="G454" s="281"/>
    </row>
    <row r="455" spans="6:7" x14ac:dyDescent="0.2">
      <c r="F455" s="209"/>
      <c r="G455" s="281"/>
    </row>
    <row r="456" spans="6:7" x14ac:dyDescent="0.2">
      <c r="F456" s="209"/>
      <c r="G456" s="281"/>
    </row>
    <row r="457" spans="6:7" x14ac:dyDescent="0.2">
      <c r="F457" s="209"/>
      <c r="G457" s="281"/>
    </row>
    <row r="458" spans="6:7" x14ac:dyDescent="0.2">
      <c r="F458" s="209"/>
      <c r="G458" s="281"/>
    </row>
    <row r="459" spans="6:7" x14ac:dyDescent="0.2">
      <c r="F459" s="209"/>
      <c r="G459" s="281"/>
    </row>
    <row r="460" spans="6:7" x14ac:dyDescent="0.2">
      <c r="F460" s="209"/>
      <c r="G460" s="281"/>
    </row>
    <row r="461" spans="6:7" x14ac:dyDescent="0.2">
      <c r="F461" s="209"/>
      <c r="G461" s="281"/>
    </row>
    <row r="462" spans="6:7" x14ac:dyDescent="0.2">
      <c r="F462" s="209"/>
      <c r="G462" s="281"/>
    </row>
    <row r="463" spans="6:7" x14ac:dyDescent="0.2">
      <c r="F463" s="209"/>
      <c r="G463" s="281"/>
    </row>
    <row r="464" spans="6:7" x14ac:dyDescent="0.2">
      <c r="F464" s="209"/>
      <c r="G464" s="281"/>
    </row>
    <row r="465" spans="6:7" x14ac:dyDescent="0.2">
      <c r="F465" s="209"/>
      <c r="G465" s="281"/>
    </row>
    <row r="466" spans="6:7" x14ac:dyDescent="0.2">
      <c r="F466" s="209"/>
      <c r="G466" s="281"/>
    </row>
    <row r="467" spans="6:7" x14ac:dyDescent="0.2">
      <c r="F467" s="209"/>
      <c r="G467" s="281"/>
    </row>
    <row r="468" spans="6:7" x14ac:dyDescent="0.2">
      <c r="F468" s="209"/>
      <c r="G468" s="281"/>
    </row>
    <row r="469" spans="6:7" x14ac:dyDescent="0.2">
      <c r="F469" s="209"/>
      <c r="G469" s="281"/>
    </row>
    <row r="470" spans="6:7" x14ac:dyDescent="0.2">
      <c r="F470" s="209"/>
      <c r="G470" s="281"/>
    </row>
    <row r="471" spans="6:7" x14ac:dyDescent="0.2">
      <c r="F471" s="209"/>
      <c r="G471" s="281"/>
    </row>
    <row r="472" spans="6:7" x14ac:dyDescent="0.2">
      <c r="F472" s="209"/>
      <c r="G472" s="281"/>
    </row>
    <row r="473" spans="6:7" x14ac:dyDescent="0.2">
      <c r="F473" s="209"/>
      <c r="G473" s="281"/>
    </row>
    <row r="474" spans="6:7" x14ac:dyDescent="0.2">
      <c r="F474" s="209"/>
      <c r="G474" s="281"/>
    </row>
    <row r="475" spans="6:7" x14ac:dyDescent="0.2">
      <c r="F475" s="209"/>
      <c r="G475" s="281"/>
    </row>
    <row r="476" spans="6:7" x14ac:dyDescent="0.2">
      <c r="F476" s="209"/>
      <c r="G476" s="281"/>
    </row>
    <row r="477" spans="6:7" x14ac:dyDescent="0.2">
      <c r="F477" s="209"/>
      <c r="G477" s="281"/>
    </row>
    <row r="478" spans="6:7" x14ac:dyDescent="0.2">
      <c r="F478" s="209"/>
      <c r="G478" s="281"/>
    </row>
    <row r="479" spans="6:7" x14ac:dyDescent="0.2">
      <c r="F479" s="209"/>
      <c r="G479" s="281"/>
    </row>
    <row r="480" spans="6:7" x14ac:dyDescent="0.2">
      <c r="F480" s="209"/>
      <c r="G480" s="281"/>
    </row>
    <row r="481" spans="6:7" x14ac:dyDescent="0.2">
      <c r="F481" s="209"/>
      <c r="G481" s="281"/>
    </row>
    <row r="482" spans="6:7" x14ac:dyDescent="0.2">
      <c r="F482" s="209"/>
      <c r="G482" s="281"/>
    </row>
    <row r="483" spans="6:7" x14ac:dyDescent="0.2">
      <c r="F483" s="209"/>
      <c r="G483" s="281"/>
    </row>
    <row r="484" spans="6:7" x14ac:dyDescent="0.2">
      <c r="F484" s="209"/>
      <c r="G484" s="281"/>
    </row>
    <row r="485" spans="6:7" x14ac:dyDescent="0.2">
      <c r="F485" s="209"/>
      <c r="G485" s="281"/>
    </row>
    <row r="486" spans="6:7" x14ac:dyDescent="0.2">
      <c r="F486" s="209"/>
      <c r="G486" s="281"/>
    </row>
    <row r="487" spans="6:7" x14ac:dyDescent="0.2">
      <c r="F487" s="209"/>
      <c r="G487" s="281"/>
    </row>
    <row r="488" spans="6:7" x14ac:dyDescent="0.2">
      <c r="F488" s="209"/>
      <c r="G488" s="281"/>
    </row>
    <row r="489" spans="6:7" x14ac:dyDescent="0.2">
      <c r="F489" s="209"/>
      <c r="G489" s="281"/>
    </row>
    <row r="490" spans="6:7" x14ac:dyDescent="0.2">
      <c r="F490" s="209"/>
      <c r="G490" s="281"/>
    </row>
    <row r="491" spans="6:7" x14ac:dyDescent="0.2">
      <c r="F491" s="209"/>
      <c r="G491" s="281"/>
    </row>
    <row r="492" spans="6:7" x14ac:dyDescent="0.2">
      <c r="F492" s="209"/>
      <c r="G492" s="281"/>
    </row>
    <row r="493" spans="6:7" x14ac:dyDescent="0.2">
      <c r="F493" s="209"/>
      <c r="G493" s="281"/>
    </row>
    <row r="494" spans="6:7" x14ac:dyDescent="0.2">
      <c r="F494" s="209"/>
      <c r="G494" s="281"/>
    </row>
    <row r="495" spans="6:7" x14ac:dyDescent="0.2">
      <c r="F495" s="209"/>
      <c r="G495" s="281"/>
    </row>
    <row r="496" spans="6:7" x14ac:dyDescent="0.2">
      <c r="F496" s="209"/>
      <c r="G496" s="281"/>
    </row>
    <row r="497" spans="6:7" x14ac:dyDescent="0.2">
      <c r="F497" s="209"/>
      <c r="G497" s="281"/>
    </row>
    <row r="498" spans="6:7" x14ac:dyDescent="0.2">
      <c r="F498" s="209"/>
      <c r="G498" s="281"/>
    </row>
    <row r="499" spans="6:7" x14ac:dyDescent="0.2">
      <c r="F499" s="209"/>
      <c r="G499" s="281"/>
    </row>
    <row r="500" spans="6:7" x14ac:dyDescent="0.2">
      <c r="F500" s="209"/>
      <c r="G500" s="281"/>
    </row>
    <row r="501" spans="6:7" x14ac:dyDescent="0.2">
      <c r="F501" s="209"/>
      <c r="G501" s="281"/>
    </row>
    <row r="502" spans="6:7" x14ac:dyDescent="0.2">
      <c r="F502" s="209"/>
      <c r="G502" s="281"/>
    </row>
    <row r="503" spans="6:7" x14ac:dyDescent="0.2">
      <c r="F503" s="209"/>
      <c r="G503" s="281"/>
    </row>
    <row r="504" spans="6:7" x14ac:dyDescent="0.2">
      <c r="F504" s="209"/>
      <c r="G504" s="281"/>
    </row>
    <row r="505" spans="6:7" x14ac:dyDescent="0.2">
      <c r="F505" s="209"/>
      <c r="G505" s="281"/>
    </row>
    <row r="506" spans="6:7" x14ac:dyDescent="0.2">
      <c r="F506" s="209"/>
      <c r="G506" s="281"/>
    </row>
    <row r="507" spans="6:7" x14ac:dyDescent="0.2">
      <c r="F507" s="209"/>
      <c r="G507" s="281"/>
    </row>
    <row r="508" spans="6:7" x14ac:dyDescent="0.2">
      <c r="F508" s="209"/>
      <c r="G508" s="281"/>
    </row>
    <row r="509" spans="6:7" x14ac:dyDescent="0.2">
      <c r="F509" s="209"/>
      <c r="G509" s="281"/>
    </row>
    <row r="510" spans="6:7" x14ac:dyDescent="0.2">
      <c r="F510" s="209"/>
      <c r="G510" s="281"/>
    </row>
    <row r="511" spans="6:7" x14ac:dyDescent="0.2">
      <c r="F511" s="209"/>
      <c r="G511" s="281"/>
    </row>
    <row r="512" spans="6:7" x14ac:dyDescent="0.2">
      <c r="F512" s="209"/>
      <c r="G512" s="281"/>
    </row>
    <row r="513" spans="6:7" x14ac:dyDescent="0.2">
      <c r="F513" s="209"/>
      <c r="G513" s="281"/>
    </row>
    <row r="514" spans="6:7" x14ac:dyDescent="0.2">
      <c r="F514" s="209"/>
      <c r="G514" s="281"/>
    </row>
    <row r="515" spans="6:7" x14ac:dyDescent="0.2">
      <c r="F515" s="209"/>
      <c r="G515" s="281"/>
    </row>
    <row r="516" spans="6:7" x14ac:dyDescent="0.2">
      <c r="F516" s="209"/>
      <c r="G516" s="281"/>
    </row>
    <row r="517" spans="6:7" x14ac:dyDescent="0.2">
      <c r="F517" s="209"/>
      <c r="G517" s="281"/>
    </row>
    <row r="518" spans="6:7" x14ac:dyDescent="0.2">
      <c r="F518" s="209"/>
      <c r="G518" s="281"/>
    </row>
    <row r="519" spans="6:7" x14ac:dyDescent="0.2">
      <c r="F519" s="209"/>
      <c r="G519" s="281"/>
    </row>
    <row r="520" spans="6:7" x14ac:dyDescent="0.2">
      <c r="F520" s="209"/>
      <c r="G520" s="281"/>
    </row>
    <row r="521" spans="6:7" x14ac:dyDescent="0.2">
      <c r="F521" s="209"/>
      <c r="G521" s="281"/>
    </row>
    <row r="522" spans="6:7" x14ac:dyDescent="0.2">
      <c r="F522" s="209"/>
      <c r="G522" s="281"/>
    </row>
    <row r="523" spans="6:7" x14ac:dyDescent="0.2">
      <c r="F523" s="209"/>
      <c r="G523" s="281"/>
    </row>
    <row r="524" spans="6:7" x14ac:dyDescent="0.2">
      <c r="F524" s="209"/>
      <c r="G524" s="281"/>
    </row>
    <row r="525" spans="6:7" x14ac:dyDescent="0.2">
      <c r="F525" s="209"/>
      <c r="G525" s="281"/>
    </row>
    <row r="526" spans="6:7" x14ac:dyDescent="0.2">
      <c r="F526" s="209"/>
      <c r="G526" s="281"/>
    </row>
    <row r="527" spans="6:7" x14ac:dyDescent="0.2">
      <c r="F527" s="209"/>
      <c r="G527" s="281"/>
    </row>
    <row r="528" spans="6:7" x14ac:dyDescent="0.2">
      <c r="F528" s="209"/>
      <c r="G528" s="281"/>
    </row>
    <row r="529" spans="6:7" x14ac:dyDescent="0.2">
      <c r="F529" s="209"/>
      <c r="G529" s="281"/>
    </row>
    <row r="530" spans="6:7" x14ac:dyDescent="0.2">
      <c r="F530" s="209"/>
      <c r="G530" s="281"/>
    </row>
    <row r="531" spans="6:7" x14ac:dyDescent="0.2">
      <c r="F531" s="209"/>
      <c r="G531" s="281"/>
    </row>
    <row r="532" spans="6:7" x14ac:dyDescent="0.2">
      <c r="F532" s="209"/>
      <c r="G532" s="281"/>
    </row>
    <row r="533" spans="6:7" x14ac:dyDescent="0.2">
      <c r="F533" s="209"/>
      <c r="G533" s="281"/>
    </row>
    <row r="534" spans="6:7" x14ac:dyDescent="0.2">
      <c r="F534" s="209"/>
      <c r="G534" s="281"/>
    </row>
    <row r="535" spans="6:7" x14ac:dyDescent="0.2">
      <c r="F535" s="209"/>
      <c r="G535" s="281"/>
    </row>
    <row r="536" spans="6:7" x14ac:dyDescent="0.2">
      <c r="F536" s="209"/>
      <c r="G536" s="281"/>
    </row>
    <row r="537" spans="6:7" x14ac:dyDescent="0.2">
      <c r="F537" s="209"/>
      <c r="G537" s="281"/>
    </row>
    <row r="538" spans="6:7" x14ac:dyDescent="0.2">
      <c r="F538" s="209"/>
      <c r="G538" s="281"/>
    </row>
    <row r="539" spans="6:7" x14ac:dyDescent="0.2">
      <c r="F539" s="209"/>
      <c r="G539" s="281"/>
    </row>
    <row r="540" spans="6:7" x14ac:dyDescent="0.2">
      <c r="F540" s="209"/>
      <c r="G540" s="281"/>
    </row>
    <row r="541" spans="6:7" x14ac:dyDescent="0.2">
      <c r="F541" s="209"/>
      <c r="G541" s="281"/>
    </row>
    <row r="542" spans="6:7" x14ac:dyDescent="0.2">
      <c r="F542" s="209"/>
      <c r="G542" s="281"/>
    </row>
    <row r="543" spans="6:7" x14ac:dyDescent="0.2">
      <c r="F543" s="209"/>
      <c r="G543" s="281"/>
    </row>
    <row r="544" spans="6:7" x14ac:dyDescent="0.2">
      <c r="F544" s="209"/>
      <c r="G544" s="281"/>
    </row>
    <row r="545" spans="6:7" x14ac:dyDescent="0.2">
      <c r="F545" s="209"/>
      <c r="G545" s="281"/>
    </row>
    <row r="546" spans="6:7" x14ac:dyDescent="0.2">
      <c r="F546" s="209"/>
      <c r="G546" s="281"/>
    </row>
    <row r="547" spans="6:7" x14ac:dyDescent="0.2">
      <c r="F547" s="209"/>
      <c r="G547" s="281"/>
    </row>
    <row r="548" spans="6:7" x14ac:dyDescent="0.2">
      <c r="F548" s="209"/>
      <c r="G548" s="281"/>
    </row>
    <row r="549" spans="6:7" x14ac:dyDescent="0.2">
      <c r="F549" s="209"/>
      <c r="G549" s="281"/>
    </row>
    <row r="550" spans="6:7" x14ac:dyDescent="0.2">
      <c r="F550" s="209"/>
      <c r="G550" s="281"/>
    </row>
    <row r="551" spans="6:7" x14ac:dyDescent="0.2">
      <c r="F551" s="209"/>
      <c r="G551" s="281"/>
    </row>
    <row r="552" spans="6:7" x14ac:dyDescent="0.2">
      <c r="F552" s="209"/>
      <c r="G552" s="281"/>
    </row>
    <row r="553" spans="6:7" x14ac:dyDescent="0.2">
      <c r="F553" s="209"/>
      <c r="G553" s="281"/>
    </row>
    <row r="554" spans="6:7" x14ac:dyDescent="0.2">
      <c r="F554" s="209"/>
      <c r="G554" s="281"/>
    </row>
    <row r="555" spans="6:7" x14ac:dyDescent="0.2">
      <c r="F555" s="209"/>
      <c r="G555" s="281"/>
    </row>
    <row r="556" spans="6:7" x14ac:dyDescent="0.2">
      <c r="F556" s="209"/>
      <c r="G556" s="281"/>
    </row>
    <row r="557" spans="6:7" x14ac:dyDescent="0.2">
      <c r="F557" s="209"/>
      <c r="G557" s="281"/>
    </row>
    <row r="558" spans="6:7" x14ac:dyDescent="0.2">
      <c r="F558" s="209"/>
      <c r="G558" s="281"/>
    </row>
    <row r="559" spans="6:7" x14ac:dyDescent="0.2">
      <c r="F559" s="209"/>
      <c r="G559" s="281"/>
    </row>
    <row r="560" spans="6:7" x14ac:dyDescent="0.2">
      <c r="F560" s="209"/>
      <c r="G560" s="281"/>
    </row>
    <row r="561" spans="6:7" x14ac:dyDescent="0.2">
      <c r="F561" s="209"/>
      <c r="G561" s="281"/>
    </row>
    <row r="562" spans="6:7" x14ac:dyDescent="0.2">
      <c r="F562" s="209"/>
      <c r="G562" s="281"/>
    </row>
    <row r="563" spans="6:7" x14ac:dyDescent="0.2">
      <c r="F563" s="209"/>
      <c r="G563" s="281"/>
    </row>
    <row r="564" spans="6:7" x14ac:dyDescent="0.2">
      <c r="F564" s="209"/>
      <c r="G564" s="281"/>
    </row>
    <row r="565" spans="6:7" x14ac:dyDescent="0.2">
      <c r="F565" s="209"/>
      <c r="G565" s="281"/>
    </row>
    <row r="566" spans="6:7" x14ac:dyDescent="0.2">
      <c r="F566" s="209"/>
      <c r="G566" s="281"/>
    </row>
    <row r="567" spans="6:7" x14ac:dyDescent="0.2">
      <c r="F567" s="209"/>
      <c r="G567" s="281"/>
    </row>
    <row r="568" spans="6:7" x14ac:dyDescent="0.2">
      <c r="F568" s="209"/>
      <c r="G568" s="281"/>
    </row>
    <row r="569" spans="6:7" x14ac:dyDescent="0.2">
      <c r="F569" s="209"/>
      <c r="G569" s="281"/>
    </row>
    <row r="570" spans="6:7" x14ac:dyDescent="0.2">
      <c r="F570" s="209"/>
      <c r="G570" s="281"/>
    </row>
    <row r="571" spans="6:7" x14ac:dyDescent="0.2">
      <c r="F571" s="209"/>
      <c r="G571" s="281"/>
    </row>
    <row r="572" spans="6:7" x14ac:dyDescent="0.2">
      <c r="F572" s="209"/>
      <c r="G572" s="281"/>
    </row>
    <row r="573" spans="6:7" x14ac:dyDescent="0.2">
      <c r="F573" s="209"/>
      <c r="G573" s="281"/>
    </row>
    <row r="574" spans="6:7" x14ac:dyDescent="0.2">
      <c r="F574" s="209"/>
      <c r="G574" s="281"/>
    </row>
    <row r="575" spans="6:7" x14ac:dyDescent="0.2">
      <c r="F575" s="209"/>
      <c r="G575" s="281"/>
    </row>
    <row r="576" spans="6:7" x14ac:dyDescent="0.2">
      <c r="F576" s="209"/>
      <c r="G576" s="281"/>
    </row>
    <row r="577" spans="6:7" x14ac:dyDescent="0.2">
      <c r="F577" s="209"/>
      <c r="G577" s="281"/>
    </row>
    <row r="578" spans="6:7" x14ac:dyDescent="0.2">
      <c r="F578" s="209"/>
      <c r="G578" s="281"/>
    </row>
    <row r="579" spans="6:7" x14ac:dyDescent="0.2">
      <c r="F579" s="209"/>
      <c r="G579" s="281"/>
    </row>
    <row r="580" spans="6:7" x14ac:dyDescent="0.2">
      <c r="F580" s="209"/>
      <c r="G580" s="281"/>
    </row>
    <row r="581" spans="6:7" x14ac:dyDescent="0.2">
      <c r="F581" s="209"/>
      <c r="G581" s="281"/>
    </row>
    <row r="582" spans="6:7" x14ac:dyDescent="0.2">
      <c r="F582" s="209"/>
      <c r="G582" s="281"/>
    </row>
    <row r="583" spans="6:7" x14ac:dyDescent="0.2">
      <c r="F583" s="209"/>
      <c r="G583" s="281"/>
    </row>
    <row r="584" spans="6:7" x14ac:dyDescent="0.2">
      <c r="F584" s="209"/>
      <c r="G584" s="281"/>
    </row>
    <row r="585" spans="6:7" x14ac:dyDescent="0.2">
      <c r="F585" s="209"/>
      <c r="G585" s="281"/>
    </row>
    <row r="586" spans="6:7" x14ac:dyDescent="0.2">
      <c r="F586" s="209"/>
      <c r="G586" s="281"/>
    </row>
    <row r="587" spans="6:7" x14ac:dyDescent="0.2">
      <c r="F587" s="209"/>
      <c r="G587" s="281"/>
    </row>
    <row r="588" spans="6:7" x14ac:dyDescent="0.2">
      <c r="F588" s="209"/>
      <c r="G588" s="281"/>
    </row>
    <row r="589" spans="6:7" x14ac:dyDescent="0.2">
      <c r="F589" s="209"/>
      <c r="G589" s="281"/>
    </row>
    <row r="590" spans="6:7" x14ac:dyDescent="0.2">
      <c r="F590" s="209"/>
      <c r="G590" s="281"/>
    </row>
    <row r="591" spans="6:7" x14ac:dyDescent="0.2">
      <c r="F591" s="209"/>
      <c r="G591" s="281"/>
    </row>
    <row r="592" spans="6:7" x14ac:dyDescent="0.2">
      <c r="F592" s="209"/>
      <c r="G592" s="281"/>
    </row>
    <row r="593" spans="6:7" x14ac:dyDescent="0.2">
      <c r="F593" s="209"/>
      <c r="G593" s="281"/>
    </row>
    <row r="594" spans="6:7" x14ac:dyDescent="0.2">
      <c r="F594" s="209"/>
      <c r="G594" s="281"/>
    </row>
    <row r="595" spans="6:7" x14ac:dyDescent="0.2">
      <c r="F595" s="209"/>
      <c r="G595" s="281"/>
    </row>
    <row r="596" spans="6:7" x14ac:dyDescent="0.2">
      <c r="F596" s="209"/>
      <c r="G596" s="281"/>
    </row>
    <row r="597" spans="6:7" x14ac:dyDescent="0.2">
      <c r="F597" s="209"/>
      <c r="G597" s="281"/>
    </row>
    <row r="598" spans="6:7" x14ac:dyDescent="0.2">
      <c r="F598" s="209"/>
      <c r="G598" s="281"/>
    </row>
    <row r="599" spans="6:7" x14ac:dyDescent="0.2">
      <c r="F599" s="209"/>
      <c r="G599" s="281"/>
    </row>
    <row r="600" spans="6:7" x14ac:dyDescent="0.2">
      <c r="F600" s="209"/>
      <c r="G600" s="281"/>
    </row>
    <row r="601" spans="6:7" x14ac:dyDescent="0.2">
      <c r="F601" s="209"/>
      <c r="G601" s="281"/>
    </row>
    <row r="602" spans="6:7" x14ac:dyDescent="0.2">
      <c r="F602" s="209"/>
      <c r="G602" s="281"/>
    </row>
    <row r="603" spans="6:7" x14ac:dyDescent="0.2">
      <c r="F603" s="209"/>
      <c r="G603" s="281"/>
    </row>
    <row r="604" spans="6:7" x14ac:dyDescent="0.2">
      <c r="F604" s="209"/>
      <c r="G604" s="281"/>
    </row>
    <row r="605" spans="6:7" x14ac:dyDescent="0.2">
      <c r="F605" s="209"/>
      <c r="G605" s="281"/>
    </row>
    <row r="606" spans="6:7" x14ac:dyDescent="0.2">
      <c r="F606" s="209"/>
      <c r="G606" s="281"/>
    </row>
    <row r="607" spans="6:7" x14ac:dyDescent="0.2">
      <c r="F607" s="209"/>
      <c r="G607" s="281"/>
    </row>
    <row r="608" spans="6:7" x14ac:dyDescent="0.2">
      <c r="F608" s="209"/>
      <c r="G608" s="281"/>
    </row>
    <row r="609" spans="6:7" x14ac:dyDescent="0.2">
      <c r="F609" s="209"/>
      <c r="G609" s="281"/>
    </row>
    <row r="610" spans="6:7" x14ac:dyDescent="0.2">
      <c r="F610" s="209"/>
      <c r="G610" s="281"/>
    </row>
    <row r="611" spans="6:7" x14ac:dyDescent="0.2">
      <c r="F611" s="209"/>
      <c r="G611" s="281"/>
    </row>
    <row r="612" spans="6:7" x14ac:dyDescent="0.2">
      <c r="F612" s="209"/>
      <c r="G612" s="281"/>
    </row>
    <row r="613" spans="6:7" x14ac:dyDescent="0.2">
      <c r="F613" s="209"/>
      <c r="G613" s="281"/>
    </row>
    <row r="614" spans="6:7" x14ac:dyDescent="0.2">
      <c r="F614" s="209"/>
      <c r="G614" s="281"/>
    </row>
    <row r="615" spans="6:7" x14ac:dyDescent="0.2">
      <c r="F615" s="209"/>
      <c r="G615" s="281"/>
    </row>
    <row r="616" spans="6:7" x14ac:dyDescent="0.2">
      <c r="F616" s="209"/>
      <c r="G616" s="281"/>
    </row>
    <row r="617" spans="6:7" x14ac:dyDescent="0.2">
      <c r="F617" s="209"/>
      <c r="G617" s="281"/>
    </row>
    <row r="618" spans="6:7" x14ac:dyDescent="0.2">
      <c r="F618" s="209"/>
      <c r="G618" s="281"/>
    </row>
    <row r="619" spans="6:7" x14ac:dyDescent="0.2">
      <c r="F619" s="209"/>
      <c r="G619" s="281"/>
    </row>
    <row r="620" spans="6:7" x14ac:dyDescent="0.2">
      <c r="F620" s="209"/>
      <c r="G620" s="281"/>
    </row>
    <row r="621" spans="6:7" x14ac:dyDescent="0.2">
      <c r="F621" s="209"/>
      <c r="G621" s="281"/>
    </row>
    <row r="622" spans="6:7" x14ac:dyDescent="0.2">
      <c r="F622" s="209"/>
      <c r="G622" s="281"/>
    </row>
    <row r="623" spans="6:7" x14ac:dyDescent="0.2">
      <c r="F623" s="209"/>
      <c r="G623" s="281"/>
    </row>
    <row r="624" spans="6:7" x14ac:dyDescent="0.2">
      <c r="F624" s="209"/>
      <c r="G624" s="281"/>
    </row>
    <row r="625" spans="6:7" x14ac:dyDescent="0.2">
      <c r="F625" s="209"/>
      <c r="G625" s="281"/>
    </row>
    <row r="626" spans="6:7" x14ac:dyDescent="0.2">
      <c r="F626" s="209"/>
      <c r="G626" s="281"/>
    </row>
    <row r="627" spans="6:7" x14ac:dyDescent="0.2">
      <c r="F627" s="209"/>
      <c r="G627" s="281"/>
    </row>
    <row r="628" spans="6:7" x14ac:dyDescent="0.2">
      <c r="F628" s="209"/>
      <c r="G628" s="281"/>
    </row>
    <row r="629" spans="6:7" x14ac:dyDescent="0.2">
      <c r="F629" s="209"/>
      <c r="G629" s="281"/>
    </row>
    <row r="630" spans="6:7" x14ac:dyDescent="0.2">
      <c r="F630" s="209"/>
      <c r="G630" s="281"/>
    </row>
    <row r="631" spans="6:7" x14ac:dyDescent="0.2">
      <c r="F631" s="209"/>
      <c r="G631" s="281"/>
    </row>
    <row r="632" spans="6:7" x14ac:dyDescent="0.2">
      <c r="F632" s="209"/>
      <c r="G632" s="281"/>
    </row>
    <row r="633" spans="6:7" x14ac:dyDescent="0.2">
      <c r="F633" s="209"/>
      <c r="G633" s="281"/>
    </row>
    <row r="634" spans="6:7" x14ac:dyDescent="0.2">
      <c r="F634" s="209"/>
      <c r="G634" s="281"/>
    </row>
    <row r="635" spans="6:7" x14ac:dyDescent="0.2">
      <c r="F635" s="209"/>
      <c r="G635" s="281"/>
    </row>
    <row r="636" spans="6:7" x14ac:dyDescent="0.2">
      <c r="F636" s="209"/>
      <c r="G636" s="281"/>
    </row>
    <row r="637" spans="6:7" x14ac:dyDescent="0.2">
      <c r="F637" s="209"/>
      <c r="G637" s="281"/>
    </row>
    <row r="638" spans="6:7" x14ac:dyDescent="0.2">
      <c r="F638" s="209"/>
      <c r="G638" s="281"/>
    </row>
    <row r="639" spans="6:7" x14ac:dyDescent="0.2">
      <c r="F639" s="209"/>
      <c r="G639" s="281"/>
    </row>
    <row r="640" spans="6:7" x14ac:dyDescent="0.2">
      <c r="F640" s="209"/>
      <c r="G640" s="281"/>
    </row>
    <row r="641" spans="6:7" x14ac:dyDescent="0.2">
      <c r="F641" s="209"/>
      <c r="G641" s="281"/>
    </row>
    <row r="642" spans="6:7" x14ac:dyDescent="0.2">
      <c r="F642" s="209"/>
      <c r="G642" s="281"/>
    </row>
    <row r="643" spans="6:7" x14ac:dyDescent="0.2">
      <c r="F643" s="209"/>
      <c r="G643" s="281"/>
    </row>
    <row r="644" spans="6:7" x14ac:dyDescent="0.2">
      <c r="F644" s="209"/>
      <c r="G644" s="281"/>
    </row>
    <row r="645" spans="6:7" x14ac:dyDescent="0.2">
      <c r="F645" s="209"/>
      <c r="G645" s="281"/>
    </row>
    <row r="646" spans="6:7" x14ac:dyDescent="0.2">
      <c r="F646" s="209"/>
      <c r="G646" s="281"/>
    </row>
    <row r="647" spans="6:7" x14ac:dyDescent="0.2">
      <c r="F647" s="209"/>
      <c r="G647" s="281"/>
    </row>
    <row r="648" spans="6:7" x14ac:dyDescent="0.2">
      <c r="F648" s="209"/>
      <c r="G648" s="281"/>
    </row>
    <row r="649" spans="6:7" x14ac:dyDescent="0.2">
      <c r="F649" s="209"/>
      <c r="G649" s="281"/>
    </row>
    <row r="650" spans="6:7" x14ac:dyDescent="0.2">
      <c r="F650" s="209"/>
      <c r="G650" s="281"/>
    </row>
    <row r="651" spans="6:7" x14ac:dyDescent="0.2">
      <c r="F651" s="209"/>
      <c r="G651" s="281"/>
    </row>
    <row r="652" spans="6:7" x14ac:dyDescent="0.2">
      <c r="F652" s="209"/>
      <c r="G652" s="281"/>
    </row>
    <row r="653" spans="6:7" x14ac:dyDescent="0.2">
      <c r="F653" s="209"/>
      <c r="G653" s="281"/>
    </row>
    <row r="654" spans="6:7" x14ac:dyDescent="0.2">
      <c r="F654" s="209"/>
      <c r="G654" s="281"/>
    </row>
    <row r="655" spans="6:7" x14ac:dyDescent="0.2">
      <c r="F655" s="209"/>
      <c r="G655" s="281"/>
    </row>
    <row r="656" spans="6:7" x14ac:dyDescent="0.2">
      <c r="F656" s="209"/>
      <c r="G656" s="281"/>
    </row>
    <row r="657" spans="6:7" x14ac:dyDescent="0.2">
      <c r="F657" s="209"/>
      <c r="G657" s="281"/>
    </row>
    <row r="658" spans="6:7" x14ac:dyDescent="0.2">
      <c r="F658" s="209"/>
      <c r="G658" s="281"/>
    </row>
    <row r="659" spans="6:7" x14ac:dyDescent="0.2">
      <c r="F659" s="209"/>
      <c r="G659" s="281"/>
    </row>
    <row r="660" spans="6:7" x14ac:dyDescent="0.2">
      <c r="F660" s="209"/>
      <c r="G660" s="281"/>
    </row>
    <row r="661" spans="6:7" x14ac:dyDescent="0.2">
      <c r="F661" s="209"/>
      <c r="G661" s="281"/>
    </row>
    <row r="662" spans="6:7" x14ac:dyDescent="0.2">
      <c r="F662" s="209"/>
      <c r="G662" s="281"/>
    </row>
    <row r="663" spans="6:7" x14ac:dyDescent="0.2">
      <c r="F663" s="209"/>
      <c r="G663" s="281"/>
    </row>
    <row r="664" spans="6:7" x14ac:dyDescent="0.2">
      <c r="F664" s="209"/>
      <c r="G664" s="281"/>
    </row>
    <row r="665" spans="6:7" x14ac:dyDescent="0.2">
      <c r="F665" s="209"/>
      <c r="G665" s="281"/>
    </row>
    <row r="666" spans="6:7" x14ac:dyDescent="0.2">
      <c r="F666" s="209"/>
      <c r="G666" s="281"/>
    </row>
    <row r="667" spans="6:7" x14ac:dyDescent="0.2">
      <c r="F667" s="209"/>
      <c r="G667" s="281"/>
    </row>
    <row r="668" spans="6:7" x14ac:dyDescent="0.2">
      <c r="F668" s="209"/>
      <c r="G668" s="281"/>
    </row>
    <row r="669" spans="6:7" x14ac:dyDescent="0.2">
      <c r="F669" s="209"/>
      <c r="G669" s="281"/>
    </row>
    <row r="670" spans="6:7" x14ac:dyDescent="0.2">
      <c r="F670" s="209"/>
      <c r="G670" s="281"/>
    </row>
    <row r="671" spans="6:7" x14ac:dyDescent="0.2">
      <c r="F671" s="209"/>
      <c r="G671" s="281"/>
    </row>
    <row r="672" spans="6:7" x14ac:dyDescent="0.2">
      <c r="F672" s="209"/>
      <c r="G672" s="281"/>
    </row>
    <row r="673" spans="6:7" x14ac:dyDescent="0.2">
      <c r="F673" s="209"/>
      <c r="G673" s="281"/>
    </row>
    <row r="674" spans="6:7" x14ac:dyDescent="0.2">
      <c r="F674" s="209"/>
      <c r="G674" s="281"/>
    </row>
    <row r="675" spans="6:7" x14ac:dyDescent="0.2">
      <c r="F675" s="209"/>
      <c r="G675" s="281"/>
    </row>
    <row r="676" spans="6:7" x14ac:dyDescent="0.2">
      <c r="F676" s="209"/>
      <c r="G676" s="281"/>
    </row>
    <row r="677" spans="6:7" x14ac:dyDescent="0.2">
      <c r="F677" s="209"/>
      <c r="G677" s="281"/>
    </row>
    <row r="678" spans="6:7" x14ac:dyDescent="0.2">
      <c r="F678" s="209"/>
      <c r="G678" s="281"/>
    </row>
    <row r="679" spans="6:7" x14ac:dyDescent="0.2">
      <c r="F679" s="209"/>
      <c r="G679" s="281"/>
    </row>
    <row r="680" spans="6:7" x14ac:dyDescent="0.2">
      <c r="F680" s="209"/>
      <c r="G680" s="281"/>
    </row>
    <row r="681" spans="6:7" x14ac:dyDescent="0.2">
      <c r="F681" s="209"/>
      <c r="G681" s="281"/>
    </row>
    <row r="682" spans="6:7" x14ac:dyDescent="0.2">
      <c r="F682" s="209"/>
      <c r="G682" s="281"/>
    </row>
    <row r="683" spans="6:7" x14ac:dyDescent="0.2">
      <c r="F683" s="209"/>
      <c r="G683" s="281"/>
    </row>
    <row r="684" spans="6:7" x14ac:dyDescent="0.2">
      <c r="F684" s="209"/>
      <c r="G684" s="281"/>
    </row>
    <row r="685" spans="6:7" x14ac:dyDescent="0.2">
      <c r="F685" s="209"/>
      <c r="G685" s="281"/>
    </row>
    <row r="686" spans="6:7" x14ac:dyDescent="0.2">
      <c r="F686" s="209"/>
      <c r="G686" s="281"/>
    </row>
    <row r="687" spans="6:7" x14ac:dyDescent="0.2">
      <c r="F687" s="209"/>
      <c r="G687" s="281"/>
    </row>
    <row r="688" spans="6:7" x14ac:dyDescent="0.2">
      <c r="F688" s="209"/>
      <c r="G688" s="281"/>
    </row>
    <row r="689" spans="6:7" x14ac:dyDescent="0.2">
      <c r="F689" s="209"/>
      <c r="G689" s="281"/>
    </row>
    <row r="690" spans="6:7" x14ac:dyDescent="0.2">
      <c r="F690" s="209"/>
      <c r="G690" s="281"/>
    </row>
    <row r="691" spans="6:7" x14ac:dyDescent="0.2">
      <c r="F691" s="209"/>
      <c r="G691" s="281"/>
    </row>
    <row r="692" spans="6:7" x14ac:dyDescent="0.2">
      <c r="F692" s="209"/>
      <c r="G692" s="281"/>
    </row>
    <row r="693" spans="6:7" x14ac:dyDescent="0.2">
      <c r="F693" s="209"/>
      <c r="G693" s="281"/>
    </row>
    <row r="694" spans="6:7" x14ac:dyDescent="0.2">
      <c r="F694" s="209"/>
      <c r="G694" s="281"/>
    </row>
    <row r="695" spans="6:7" x14ac:dyDescent="0.2">
      <c r="F695" s="209"/>
      <c r="G695" s="281"/>
    </row>
    <row r="696" spans="6:7" x14ac:dyDescent="0.2">
      <c r="F696" s="209"/>
      <c r="G696" s="281"/>
    </row>
    <row r="697" spans="6:7" x14ac:dyDescent="0.2">
      <c r="F697" s="209"/>
      <c r="G697" s="281"/>
    </row>
    <row r="698" spans="6:7" x14ac:dyDescent="0.2">
      <c r="F698" s="209"/>
      <c r="G698" s="281"/>
    </row>
    <row r="699" spans="6:7" x14ac:dyDescent="0.2">
      <c r="F699" s="209"/>
      <c r="G699" s="281"/>
    </row>
    <row r="700" spans="6:7" x14ac:dyDescent="0.2">
      <c r="F700" s="209"/>
      <c r="G700" s="281"/>
    </row>
    <row r="701" spans="6:7" x14ac:dyDescent="0.2">
      <c r="F701" s="209"/>
      <c r="G701" s="281"/>
    </row>
    <row r="702" spans="6:7" x14ac:dyDescent="0.2">
      <c r="F702" s="209"/>
      <c r="G702" s="281"/>
    </row>
    <row r="703" spans="6:7" x14ac:dyDescent="0.2">
      <c r="F703" s="209"/>
      <c r="G703" s="281"/>
    </row>
    <row r="704" spans="6:7" x14ac:dyDescent="0.2">
      <c r="F704" s="209"/>
      <c r="G704" s="281"/>
    </row>
    <row r="705" spans="6:7" x14ac:dyDescent="0.2">
      <c r="F705" s="209"/>
      <c r="G705" s="281"/>
    </row>
    <row r="706" spans="6:7" x14ac:dyDescent="0.2">
      <c r="F706" s="209"/>
      <c r="G706" s="281"/>
    </row>
    <row r="707" spans="6:7" x14ac:dyDescent="0.2">
      <c r="F707" s="209"/>
      <c r="G707" s="281"/>
    </row>
    <row r="708" spans="6:7" x14ac:dyDescent="0.2">
      <c r="F708" s="209"/>
      <c r="G708" s="281"/>
    </row>
    <row r="709" spans="6:7" x14ac:dyDescent="0.2">
      <c r="F709" s="209"/>
      <c r="G709" s="281"/>
    </row>
    <row r="710" spans="6:7" x14ac:dyDescent="0.2">
      <c r="F710" s="209"/>
      <c r="G710" s="281"/>
    </row>
    <row r="711" spans="6:7" x14ac:dyDescent="0.2">
      <c r="F711" s="209"/>
      <c r="G711" s="281"/>
    </row>
    <row r="712" spans="6:7" x14ac:dyDescent="0.2">
      <c r="F712" s="209"/>
      <c r="G712" s="281"/>
    </row>
    <row r="713" spans="6:7" x14ac:dyDescent="0.2">
      <c r="F713" s="209"/>
      <c r="G713" s="281"/>
    </row>
    <row r="714" spans="6:7" x14ac:dyDescent="0.2">
      <c r="F714" s="209"/>
      <c r="G714" s="281"/>
    </row>
    <row r="715" spans="6:7" x14ac:dyDescent="0.2">
      <c r="F715" s="209"/>
      <c r="G715" s="281"/>
    </row>
    <row r="716" spans="6:7" x14ac:dyDescent="0.2">
      <c r="F716" s="209"/>
      <c r="G716" s="281"/>
    </row>
    <row r="717" spans="6:7" x14ac:dyDescent="0.2">
      <c r="F717" s="209"/>
      <c r="G717" s="281"/>
    </row>
    <row r="718" spans="6:7" x14ac:dyDescent="0.2">
      <c r="F718" s="209"/>
      <c r="G718" s="281"/>
    </row>
    <row r="719" spans="6:7" x14ac:dyDescent="0.2">
      <c r="F719" s="209"/>
      <c r="G719" s="281"/>
    </row>
    <row r="720" spans="6:7" x14ac:dyDescent="0.2">
      <c r="F720" s="209"/>
      <c r="G720" s="281"/>
    </row>
    <row r="721" spans="6:7" x14ac:dyDescent="0.2">
      <c r="F721" s="209"/>
      <c r="G721" s="281"/>
    </row>
    <row r="722" spans="6:7" x14ac:dyDescent="0.2">
      <c r="F722" s="209"/>
      <c r="G722" s="281"/>
    </row>
    <row r="723" spans="6:7" x14ac:dyDescent="0.2">
      <c r="F723" s="209"/>
      <c r="G723" s="281"/>
    </row>
    <row r="724" spans="6:7" x14ac:dyDescent="0.2">
      <c r="F724" s="209"/>
      <c r="G724" s="281"/>
    </row>
    <row r="725" spans="6:7" x14ac:dyDescent="0.2">
      <c r="F725" s="209"/>
      <c r="G725" s="281"/>
    </row>
    <row r="726" spans="6:7" x14ac:dyDescent="0.2">
      <c r="F726" s="209"/>
      <c r="G726" s="281"/>
    </row>
    <row r="727" spans="6:7" x14ac:dyDescent="0.2">
      <c r="F727" s="209"/>
      <c r="G727" s="281"/>
    </row>
    <row r="728" spans="6:7" x14ac:dyDescent="0.2">
      <c r="F728" s="209"/>
      <c r="G728" s="281"/>
    </row>
    <row r="729" spans="6:7" x14ac:dyDescent="0.2">
      <c r="F729" s="209"/>
      <c r="G729" s="281"/>
    </row>
    <row r="730" spans="6:7" x14ac:dyDescent="0.2">
      <c r="F730" s="209"/>
      <c r="G730" s="281"/>
    </row>
    <row r="731" spans="6:7" x14ac:dyDescent="0.2">
      <c r="F731" s="209"/>
      <c r="G731" s="281"/>
    </row>
    <row r="732" spans="6:7" x14ac:dyDescent="0.2">
      <c r="F732" s="209"/>
      <c r="G732" s="281"/>
    </row>
    <row r="733" spans="6:7" x14ac:dyDescent="0.2">
      <c r="F733" s="209"/>
      <c r="G733" s="281"/>
    </row>
    <row r="734" spans="6:7" x14ac:dyDescent="0.2">
      <c r="F734" s="209"/>
      <c r="G734" s="281"/>
    </row>
    <row r="735" spans="6:7" x14ac:dyDescent="0.2">
      <c r="F735" s="209"/>
      <c r="G735" s="281"/>
    </row>
    <row r="736" spans="6:7" x14ac:dyDescent="0.2">
      <c r="F736" s="209"/>
      <c r="G736" s="281"/>
    </row>
    <row r="737" spans="6:7" x14ac:dyDescent="0.2">
      <c r="F737" s="209"/>
      <c r="G737" s="281"/>
    </row>
    <row r="738" spans="6:7" x14ac:dyDescent="0.2">
      <c r="F738" s="209"/>
      <c r="G738" s="281"/>
    </row>
    <row r="739" spans="6:7" x14ac:dyDescent="0.2">
      <c r="F739" s="209"/>
      <c r="G739" s="281"/>
    </row>
    <row r="740" spans="6:7" x14ac:dyDescent="0.2">
      <c r="F740" s="209"/>
      <c r="G740" s="281"/>
    </row>
    <row r="741" spans="6:7" x14ac:dyDescent="0.2">
      <c r="F741" s="209"/>
      <c r="G741" s="281"/>
    </row>
    <row r="742" spans="6:7" x14ac:dyDescent="0.2">
      <c r="F742" s="209"/>
      <c r="G742" s="281"/>
    </row>
    <row r="743" spans="6:7" x14ac:dyDescent="0.2">
      <c r="F743" s="209"/>
      <c r="G743" s="281"/>
    </row>
    <row r="744" spans="6:7" x14ac:dyDescent="0.2">
      <c r="F744" s="209"/>
      <c r="G744" s="281"/>
    </row>
    <row r="745" spans="6:7" x14ac:dyDescent="0.2">
      <c r="F745" s="209"/>
      <c r="G745" s="281"/>
    </row>
    <row r="746" spans="6:7" x14ac:dyDescent="0.2">
      <c r="F746" s="209"/>
      <c r="G746" s="281"/>
    </row>
    <row r="747" spans="6:7" x14ac:dyDescent="0.2">
      <c r="F747" s="209"/>
      <c r="G747" s="281"/>
    </row>
    <row r="748" spans="6:7" x14ac:dyDescent="0.2">
      <c r="F748" s="209"/>
      <c r="G748" s="281"/>
    </row>
    <row r="749" spans="6:7" x14ac:dyDescent="0.2">
      <c r="F749" s="209"/>
      <c r="G749" s="281"/>
    </row>
    <row r="750" spans="6:7" x14ac:dyDescent="0.2">
      <c r="F750" s="209"/>
      <c r="G750" s="281"/>
    </row>
    <row r="751" spans="6:7" x14ac:dyDescent="0.2">
      <c r="F751" s="209"/>
      <c r="G751" s="281"/>
    </row>
    <row r="752" spans="6:7" x14ac:dyDescent="0.2">
      <c r="F752" s="209"/>
      <c r="G752" s="281"/>
    </row>
    <row r="753" spans="6:7" x14ac:dyDescent="0.2">
      <c r="F753" s="209"/>
      <c r="G753" s="281"/>
    </row>
    <row r="754" spans="6:7" x14ac:dyDescent="0.2">
      <c r="F754" s="209"/>
      <c r="G754" s="281"/>
    </row>
    <row r="755" spans="6:7" x14ac:dyDescent="0.2">
      <c r="F755" s="209"/>
      <c r="G755" s="281"/>
    </row>
    <row r="756" spans="6:7" x14ac:dyDescent="0.2">
      <c r="F756" s="209"/>
      <c r="G756" s="281"/>
    </row>
    <row r="757" spans="6:7" x14ac:dyDescent="0.2">
      <c r="F757" s="209"/>
      <c r="G757" s="281"/>
    </row>
    <row r="758" spans="6:7" x14ac:dyDescent="0.2">
      <c r="F758" s="209"/>
      <c r="G758" s="281"/>
    </row>
    <row r="759" spans="6:7" x14ac:dyDescent="0.2">
      <c r="F759" s="209"/>
      <c r="G759" s="281"/>
    </row>
    <row r="760" spans="6:7" x14ac:dyDescent="0.2">
      <c r="F760" s="209"/>
      <c r="G760" s="281"/>
    </row>
    <row r="761" spans="6:7" x14ac:dyDescent="0.2">
      <c r="F761" s="209"/>
      <c r="G761" s="281"/>
    </row>
    <row r="762" spans="6:7" x14ac:dyDescent="0.2">
      <c r="F762" s="209"/>
      <c r="G762" s="281"/>
    </row>
    <row r="763" spans="6:7" x14ac:dyDescent="0.2">
      <c r="F763" s="209"/>
      <c r="G763" s="281"/>
    </row>
    <row r="764" spans="6:7" x14ac:dyDescent="0.2">
      <c r="F764" s="209"/>
      <c r="G764" s="281"/>
    </row>
    <row r="765" spans="6:7" x14ac:dyDescent="0.2">
      <c r="F765" s="209"/>
      <c r="G765" s="281"/>
    </row>
    <row r="766" spans="6:7" x14ac:dyDescent="0.2">
      <c r="F766" s="209"/>
      <c r="G766" s="281"/>
    </row>
    <row r="767" spans="6:7" x14ac:dyDescent="0.2">
      <c r="F767" s="209"/>
      <c r="G767" s="281"/>
    </row>
    <row r="768" spans="6:7" x14ac:dyDescent="0.2">
      <c r="F768" s="209"/>
      <c r="G768" s="281"/>
    </row>
    <row r="769" spans="6:7" x14ac:dyDescent="0.2">
      <c r="F769" s="209"/>
      <c r="G769" s="281"/>
    </row>
    <row r="770" spans="6:7" x14ac:dyDescent="0.2">
      <c r="F770" s="209"/>
      <c r="G770" s="281"/>
    </row>
    <row r="771" spans="6:7" x14ac:dyDescent="0.2">
      <c r="F771" s="209"/>
      <c r="G771" s="281"/>
    </row>
    <row r="772" spans="6:7" x14ac:dyDescent="0.2">
      <c r="F772" s="209"/>
      <c r="G772" s="281"/>
    </row>
    <row r="773" spans="6:7" x14ac:dyDescent="0.2">
      <c r="F773" s="209"/>
      <c r="G773" s="281"/>
    </row>
    <row r="774" spans="6:7" x14ac:dyDescent="0.2">
      <c r="F774" s="209"/>
      <c r="G774" s="281"/>
    </row>
    <row r="775" spans="6:7" x14ac:dyDescent="0.2">
      <c r="F775" s="209"/>
      <c r="G775" s="281"/>
    </row>
    <row r="776" spans="6:7" x14ac:dyDescent="0.2">
      <c r="F776" s="209"/>
      <c r="G776" s="281"/>
    </row>
    <row r="777" spans="6:7" x14ac:dyDescent="0.2">
      <c r="F777" s="209"/>
      <c r="G777" s="281"/>
    </row>
    <row r="778" spans="6:7" x14ac:dyDescent="0.2">
      <c r="F778" s="209"/>
      <c r="G778" s="281"/>
    </row>
    <row r="779" spans="6:7" x14ac:dyDescent="0.2">
      <c r="F779" s="209"/>
      <c r="G779" s="281"/>
    </row>
    <row r="780" spans="6:7" x14ac:dyDescent="0.2">
      <c r="F780" s="209"/>
      <c r="G780" s="281"/>
    </row>
    <row r="781" spans="6:7" x14ac:dyDescent="0.2">
      <c r="F781" s="209"/>
      <c r="G781" s="281"/>
    </row>
    <row r="782" spans="6:7" x14ac:dyDescent="0.2">
      <c r="F782" s="209"/>
      <c r="G782" s="281"/>
    </row>
    <row r="783" spans="6:7" x14ac:dyDescent="0.2">
      <c r="F783" s="209"/>
      <c r="G783" s="281"/>
    </row>
    <row r="784" spans="6:7" x14ac:dyDescent="0.2">
      <c r="F784" s="209"/>
      <c r="G784" s="281"/>
    </row>
    <row r="785" spans="6:7" x14ac:dyDescent="0.2">
      <c r="F785" s="209"/>
      <c r="G785" s="281"/>
    </row>
    <row r="786" spans="6:7" x14ac:dyDescent="0.2">
      <c r="F786" s="209"/>
      <c r="G786" s="281"/>
    </row>
    <row r="787" spans="6:7" x14ac:dyDescent="0.2">
      <c r="F787" s="209"/>
      <c r="G787" s="281"/>
    </row>
    <row r="788" spans="6:7" x14ac:dyDescent="0.2">
      <c r="F788" s="209"/>
      <c r="G788" s="281"/>
    </row>
    <row r="789" spans="6:7" x14ac:dyDescent="0.2">
      <c r="F789" s="209"/>
      <c r="G789" s="281"/>
    </row>
    <row r="790" spans="6:7" x14ac:dyDescent="0.2">
      <c r="F790" s="209"/>
      <c r="G790" s="281"/>
    </row>
    <row r="791" spans="6:7" x14ac:dyDescent="0.2">
      <c r="F791" s="209"/>
      <c r="G791" s="281"/>
    </row>
    <row r="792" spans="6:7" x14ac:dyDescent="0.2">
      <c r="F792" s="209"/>
      <c r="G792" s="281"/>
    </row>
    <row r="793" spans="6:7" x14ac:dyDescent="0.2">
      <c r="F793" s="209"/>
      <c r="G793" s="281"/>
    </row>
    <row r="794" spans="6:7" x14ac:dyDescent="0.2">
      <c r="F794" s="209"/>
      <c r="G794" s="281"/>
    </row>
    <row r="795" spans="6:7" x14ac:dyDescent="0.2">
      <c r="F795" s="209"/>
      <c r="G795" s="281"/>
    </row>
    <row r="796" spans="6:7" x14ac:dyDescent="0.2">
      <c r="F796" s="209"/>
      <c r="G796" s="281"/>
    </row>
    <row r="797" spans="6:7" x14ac:dyDescent="0.2">
      <c r="F797" s="209"/>
      <c r="G797" s="281"/>
    </row>
    <row r="798" spans="6:7" x14ac:dyDescent="0.2">
      <c r="F798" s="209"/>
      <c r="G798" s="281"/>
    </row>
    <row r="799" spans="6:7" x14ac:dyDescent="0.2">
      <c r="F799" s="209"/>
      <c r="G799" s="281"/>
    </row>
    <row r="800" spans="6:7" x14ac:dyDescent="0.2">
      <c r="F800" s="209"/>
      <c r="G800" s="281"/>
    </row>
    <row r="801" spans="6:7" x14ac:dyDescent="0.2">
      <c r="F801" s="209"/>
      <c r="G801" s="281"/>
    </row>
    <row r="802" spans="6:7" x14ac:dyDescent="0.2">
      <c r="F802" s="209"/>
      <c r="G802" s="281"/>
    </row>
    <row r="803" spans="6:7" x14ac:dyDescent="0.2">
      <c r="F803" s="209"/>
      <c r="G803" s="281"/>
    </row>
    <row r="804" spans="6:7" x14ac:dyDescent="0.2">
      <c r="F804" s="209"/>
      <c r="G804" s="281"/>
    </row>
    <row r="805" spans="6:7" x14ac:dyDescent="0.2">
      <c r="F805" s="209"/>
      <c r="G805" s="281"/>
    </row>
    <row r="806" spans="6:7" x14ac:dyDescent="0.2">
      <c r="F806" s="209"/>
      <c r="G806" s="281"/>
    </row>
    <row r="807" spans="6:7" x14ac:dyDescent="0.2">
      <c r="F807" s="209"/>
      <c r="G807" s="281"/>
    </row>
    <row r="808" spans="6:7" x14ac:dyDescent="0.2">
      <c r="F808" s="209"/>
      <c r="G808" s="281"/>
    </row>
    <row r="809" spans="6:7" x14ac:dyDescent="0.2">
      <c r="F809" s="209"/>
      <c r="G809" s="281"/>
    </row>
    <row r="810" spans="6:7" x14ac:dyDescent="0.2">
      <c r="F810" s="209"/>
      <c r="G810" s="281"/>
    </row>
    <row r="811" spans="6:7" x14ac:dyDescent="0.2">
      <c r="F811" s="209"/>
      <c r="G811" s="281"/>
    </row>
    <row r="812" spans="6:7" x14ac:dyDescent="0.2">
      <c r="F812" s="209"/>
      <c r="G812" s="281"/>
    </row>
    <row r="813" spans="6:7" x14ac:dyDescent="0.2">
      <c r="F813" s="209"/>
      <c r="G813" s="281"/>
    </row>
    <row r="814" spans="6:7" x14ac:dyDescent="0.2">
      <c r="F814" s="209"/>
      <c r="G814" s="281"/>
    </row>
    <row r="815" spans="6:7" x14ac:dyDescent="0.2">
      <c r="F815" s="209"/>
      <c r="G815" s="281"/>
    </row>
    <row r="816" spans="6:7" x14ac:dyDescent="0.2">
      <c r="F816" s="209"/>
      <c r="G816" s="281"/>
    </row>
    <row r="817" spans="6:7" x14ac:dyDescent="0.2">
      <c r="F817" s="209"/>
      <c r="G817" s="281"/>
    </row>
    <row r="818" spans="6:7" x14ac:dyDescent="0.2">
      <c r="F818" s="209"/>
      <c r="G818" s="281"/>
    </row>
    <row r="819" spans="6:7" x14ac:dyDescent="0.2">
      <c r="F819" s="209"/>
      <c r="G819" s="281"/>
    </row>
    <row r="820" spans="6:7" x14ac:dyDescent="0.2">
      <c r="F820" s="209"/>
      <c r="G820" s="281"/>
    </row>
    <row r="821" spans="6:7" x14ac:dyDescent="0.2">
      <c r="F821" s="209"/>
      <c r="G821" s="281"/>
    </row>
    <row r="822" spans="6:7" x14ac:dyDescent="0.2">
      <c r="F822" s="209"/>
      <c r="G822" s="281"/>
    </row>
    <row r="823" spans="6:7" x14ac:dyDescent="0.2">
      <c r="F823" s="209"/>
      <c r="G823" s="281"/>
    </row>
    <row r="824" spans="6:7" x14ac:dyDescent="0.2">
      <c r="F824" s="209"/>
      <c r="G824" s="281"/>
    </row>
    <row r="825" spans="6:7" x14ac:dyDescent="0.2">
      <c r="F825" s="209"/>
      <c r="G825" s="281"/>
    </row>
    <row r="826" spans="6:7" x14ac:dyDescent="0.2">
      <c r="F826" s="209"/>
      <c r="G826" s="281"/>
    </row>
    <row r="827" spans="6:7" x14ac:dyDescent="0.2">
      <c r="F827" s="209"/>
      <c r="G827" s="281"/>
    </row>
    <row r="828" spans="6:7" x14ac:dyDescent="0.2">
      <c r="F828" s="209"/>
      <c r="G828" s="281"/>
    </row>
    <row r="829" spans="6:7" x14ac:dyDescent="0.2">
      <c r="F829" s="209"/>
      <c r="G829" s="281"/>
    </row>
    <row r="830" spans="6:7" x14ac:dyDescent="0.2">
      <c r="F830" s="209"/>
      <c r="G830" s="281"/>
    </row>
    <row r="831" spans="6:7" x14ac:dyDescent="0.2">
      <c r="F831" s="209"/>
      <c r="G831" s="281"/>
    </row>
    <row r="832" spans="6:7" x14ac:dyDescent="0.2">
      <c r="F832" s="209"/>
      <c r="G832" s="281"/>
    </row>
    <row r="833" spans="6:7" x14ac:dyDescent="0.2">
      <c r="F833" s="209"/>
      <c r="G833" s="281"/>
    </row>
    <row r="834" spans="6:7" x14ac:dyDescent="0.2">
      <c r="F834" s="209"/>
      <c r="G834" s="281"/>
    </row>
    <row r="835" spans="6:7" x14ac:dyDescent="0.2">
      <c r="F835" s="209"/>
      <c r="G835" s="281"/>
    </row>
    <row r="836" spans="6:7" x14ac:dyDescent="0.2">
      <c r="F836" s="209"/>
      <c r="G836" s="281"/>
    </row>
    <row r="837" spans="6:7" x14ac:dyDescent="0.2">
      <c r="F837" s="209"/>
      <c r="G837" s="281"/>
    </row>
    <row r="838" spans="6:7" x14ac:dyDescent="0.2">
      <c r="F838" s="209"/>
      <c r="G838" s="281"/>
    </row>
    <row r="839" spans="6:7" x14ac:dyDescent="0.2">
      <c r="F839" s="209"/>
      <c r="G839" s="281"/>
    </row>
    <row r="840" spans="6:7" x14ac:dyDescent="0.2">
      <c r="F840" s="209"/>
      <c r="G840" s="281"/>
    </row>
    <row r="841" spans="6:7" x14ac:dyDescent="0.2">
      <c r="F841" s="209"/>
      <c r="G841" s="281"/>
    </row>
    <row r="842" spans="6:7" x14ac:dyDescent="0.2">
      <c r="F842" s="209"/>
      <c r="G842" s="281"/>
    </row>
    <row r="843" spans="6:7" x14ac:dyDescent="0.2">
      <c r="F843" s="209"/>
      <c r="G843" s="281"/>
    </row>
    <row r="844" spans="6:7" x14ac:dyDescent="0.2">
      <c r="F844" s="209"/>
      <c r="G844" s="281"/>
    </row>
    <row r="845" spans="6:7" x14ac:dyDescent="0.2">
      <c r="F845" s="209"/>
      <c r="G845" s="281"/>
    </row>
    <row r="846" spans="6:7" x14ac:dyDescent="0.2">
      <c r="F846" s="209"/>
      <c r="G846" s="281"/>
    </row>
    <row r="847" spans="6:7" x14ac:dyDescent="0.2">
      <c r="F847" s="209"/>
      <c r="G847" s="281"/>
    </row>
    <row r="848" spans="6:7" x14ac:dyDescent="0.2">
      <c r="F848" s="209"/>
      <c r="G848" s="281"/>
    </row>
    <row r="849" spans="6:7" x14ac:dyDescent="0.2">
      <c r="F849" s="209"/>
      <c r="G849" s="281"/>
    </row>
    <row r="850" spans="6:7" x14ac:dyDescent="0.2">
      <c r="F850" s="209"/>
      <c r="G850" s="281"/>
    </row>
    <row r="851" spans="6:7" x14ac:dyDescent="0.2">
      <c r="F851" s="209"/>
      <c r="G851" s="281"/>
    </row>
    <row r="852" spans="6:7" x14ac:dyDescent="0.2">
      <c r="F852" s="209"/>
      <c r="G852" s="281"/>
    </row>
    <row r="853" spans="6:7" x14ac:dyDescent="0.2">
      <c r="F853" s="209"/>
      <c r="G853" s="281"/>
    </row>
    <row r="854" spans="6:7" x14ac:dyDescent="0.2">
      <c r="F854" s="209"/>
      <c r="G854" s="281"/>
    </row>
    <row r="855" spans="6:7" x14ac:dyDescent="0.2">
      <c r="F855" s="209"/>
      <c r="G855" s="281"/>
    </row>
    <row r="856" spans="6:7" x14ac:dyDescent="0.2">
      <c r="F856" s="209"/>
      <c r="G856" s="281"/>
    </row>
    <row r="857" spans="6:7" x14ac:dyDescent="0.2">
      <c r="F857" s="209"/>
      <c r="G857" s="281"/>
    </row>
    <row r="858" spans="6:7" x14ac:dyDescent="0.2">
      <c r="F858" s="209"/>
      <c r="G858" s="281"/>
    </row>
    <row r="859" spans="6:7" x14ac:dyDescent="0.2">
      <c r="F859" s="209"/>
      <c r="G859" s="281"/>
    </row>
    <row r="860" spans="6:7" x14ac:dyDescent="0.2">
      <c r="F860" s="209"/>
      <c r="G860" s="281"/>
    </row>
    <row r="861" spans="6:7" x14ac:dyDescent="0.2">
      <c r="F861" s="209"/>
      <c r="G861" s="281"/>
    </row>
    <row r="862" spans="6:7" x14ac:dyDescent="0.2">
      <c r="F862" s="209"/>
      <c r="G862" s="281"/>
    </row>
    <row r="863" spans="6:7" x14ac:dyDescent="0.2">
      <c r="F863" s="209"/>
      <c r="G863" s="281"/>
    </row>
    <row r="864" spans="6:7" x14ac:dyDescent="0.2">
      <c r="F864" s="209"/>
      <c r="G864" s="281"/>
    </row>
    <row r="865" spans="6:7" x14ac:dyDescent="0.2">
      <c r="F865" s="209"/>
      <c r="G865" s="281"/>
    </row>
    <row r="866" spans="6:7" x14ac:dyDescent="0.2">
      <c r="F866" s="209"/>
      <c r="G866" s="281"/>
    </row>
    <row r="867" spans="6:7" x14ac:dyDescent="0.2">
      <c r="F867" s="209"/>
      <c r="G867" s="281"/>
    </row>
    <row r="868" spans="6:7" x14ac:dyDescent="0.2">
      <c r="F868" s="209"/>
      <c r="G868" s="281"/>
    </row>
    <row r="869" spans="6:7" x14ac:dyDescent="0.2">
      <c r="F869" s="209"/>
      <c r="G869" s="281"/>
    </row>
    <row r="870" spans="6:7" x14ac:dyDescent="0.2">
      <c r="F870" s="209"/>
      <c r="G870" s="281"/>
    </row>
    <row r="871" spans="6:7" x14ac:dyDescent="0.2">
      <c r="F871" s="209"/>
      <c r="G871" s="281"/>
    </row>
    <row r="872" spans="6:7" x14ac:dyDescent="0.2">
      <c r="F872" s="209"/>
      <c r="G872" s="281"/>
    </row>
    <row r="873" spans="6:7" x14ac:dyDescent="0.2">
      <c r="F873" s="209"/>
      <c r="G873" s="281"/>
    </row>
    <row r="874" spans="6:7" x14ac:dyDescent="0.2">
      <c r="F874" s="209"/>
      <c r="G874" s="281"/>
    </row>
    <row r="875" spans="6:7" x14ac:dyDescent="0.2">
      <c r="F875" s="209"/>
      <c r="G875" s="281"/>
    </row>
    <row r="876" spans="6:7" x14ac:dyDescent="0.2">
      <c r="F876" s="209"/>
      <c r="G876" s="281"/>
    </row>
    <row r="877" spans="6:7" x14ac:dyDescent="0.2">
      <c r="F877" s="209"/>
      <c r="G877" s="281"/>
    </row>
    <row r="878" spans="6:7" x14ac:dyDescent="0.2">
      <c r="F878" s="209"/>
      <c r="G878" s="281"/>
    </row>
    <row r="879" spans="6:7" x14ac:dyDescent="0.2">
      <c r="F879" s="209"/>
      <c r="G879" s="281"/>
    </row>
    <row r="880" spans="6:7" x14ac:dyDescent="0.2">
      <c r="F880" s="209"/>
      <c r="G880" s="281"/>
    </row>
    <row r="881" spans="6:7" x14ac:dyDescent="0.2">
      <c r="F881" s="209"/>
      <c r="G881" s="281"/>
    </row>
    <row r="882" spans="6:7" x14ac:dyDescent="0.2">
      <c r="F882" s="209"/>
      <c r="G882" s="281"/>
    </row>
    <row r="883" spans="6:7" x14ac:dyDescent="0.2">
      <c r="F883" s="209"/>
      <c r="G883" s="281"/>
    </row>
    <row r="884" spans="6:7" x14ac:dyDescent="0.2">
      <c r="F884" s="209"/>
      <c r="G884" s="281"/>
    </row>
    <row r="885" spans="6:7" x14ac:dyDescent="0.2">
      <c r="F885" s="209"/>
      <c r="G885" s="281"/>
    </row>
    <row r="886" spans="6:7" x14ac:dyDescent="0.2">
      <c r="F886" s="209"/>
      <c r="G886" s="281"/>
    </row>
    <row r="887" spans="6:7" x14ac:dyDescent="0.2">
      <c r="F887" s="209"/>
      <c r="G887" s="281"/>
    </row>
    <row r="888" spans="6:7" x14ac:dyDescent="0.2">
      <c r="F888" s="209"/>
      <c r="G888" s="281"/>
    </row>
    <row r="889" spans="6:7" x14ac:dyDescent="0.2">
      <c r="F889" s="209"/>
      <c r="G889" s="281"/>
    </row>
    <row r="890" spans="6:7" x14ac:dyDescent="0.2">
      <c r="F890" s="209"/>
      <c r="G890" s="281"/>
    </row>
    <row r="891" spans="6:7" x14ac:dyDescent="0.2">
      <c r="F891" s="209"/>
      <c r="G891" s="281"/>
    </row>
    <row r="892" spans="6:7" x14ac:dyDescent="0.2">
      <c r="F892" s="209"/>
      <c r="G892" s="281"/>
    </row>
    <row r="893" spans="6:7" x14ac:dyDescent="0.2">
      <c r="F893" s="209"/>
      <c r="G893" s="281"/>
    </row>
    <row r="894" spans="6:7" x14ac:dyDescent="0.2">
      <c r="F894" s="209"/>
      <c r="G894" s="281"/>
    </row>
    <row r="895" spans="6:7" x14ac:dyDescent="0.2">
      <c r="F895" s="209"/>
      <c r="G895" s="281"/>
    </row>
    <row r="896" spans="6:7" x14ac:dyDescent="0.2">
      <c r="F896" s="209"/>
      <c r="G896" s="281"/>
    </row>
    <row r="897" spans="6:7" x14ac:dyDescent="0.2">
      <c r="F897" s="209"/>
      <c r="G897" s="281"/>
    </row>
    <row r="898" spans="6:7" x14ac:dyDescent="0.2">
      <c r="F898" s="209"/>
      <c r="G898" s="281"/>
    </row>
    <row r="899" spans="6:7" x14ac:dyDescent="0.2">
      <c r="F899" s="209"/>
      <c r="G899" s="281"/>
    </row>
    <row r="900" spans="6:7" x14ac:dyDescent="0.2">
      <c r="F900" s="209"/>
      <c r="G900" s="281"/>
    </row>
    <row r="901" spans="6:7" x14ac:dyDescent="0.2">
      <c r="F901" s="209"/>
      <c r="G901" s="281"/>
    </row>
    <row r="902" spans="6:7" x14ac:dyDescent="0.2">
      <c r="F902" s="209"/>
      <c r="G902" s="281"/>
    </row>
    <row r="903" spans="6:7" x14ac:dyDescent="0.2">
      <c r="F903" s="209"/>
      <c r="G903" s="281"/>
    </row>
    <row r="904" spans="6:7" x14ac:dyDescent="0.2">
      <c r="F904" s="209"/>
      <c r="G904" s="281"/>
    </row>
    <row r="905" spans="6:7" x14ac:dyDescent="0.2">
      <c r="F905" s="209"/>
      <c r="G905" s="281"/>
    </row>
    <row r="906" spans="6:7" x14ac:dyDescent="0.2">
      <c r="F906" s="209"/>
      <c r="G906" s="281"/>
    </row>
    <row r="907" spans="6:7" x14ac:dyDescent="0.2">
      <c r="F907" s="209"/>
      <c r="G907" s="281"/>
    </row>
    <row r="908" spans="6:7" x14ac:dyDescent="0.2">
      <c r="F908" s="209"/>
      <c r="G908" s="281"/>
    </row>
    <row r="909" spans="6:7" x14ac:dyDescent="0.2">
      <c r="F909" s="209"/>
      <c r="G909" s="281"/>
    </row>
    <row r="910" spans="6:7" x14ac:dyDescent="0.2">
      <c r="F910" s="209"/>
      <c r="G910" s="281"/>
    </row>
    <row r="911" spans="6:7" x14ac:dyDescent="0.2">
      <c r="F911" s="209"/>
      <c r="G911" s="281"/>
    </row>
    <row r="912" spans="6:7" x14ac:dyDescent="0.2">
      <c r="F912" s="209"/>
      <c r="G912" s="281"/>
    </row>
    <row r="913" spans="6:7" x14ac:dyDescent="0.2">
      <c r="F913" s="209"/>
      <c r="G913" s="281"/>
    </row>
    <row r="914" spans="6:7" x14ac:dyDescent="0.2">
      <c r="F914" s="209"/>
      <c r="G914" s="281"/>
    </row>
    <row r="915" spans="6:7" x14ac:dyDescent="0.2">
      <c r="F915" s="209"/>
      <c r="G915" s="281"/>
    </row>
    <row r="916" spans="6:7" x14ac:dyDescent="0.2">
      <c r="F916" s="209"/>
      <c r="G916" s="281"/>
    </row>
    <row r="917" spans="6:7" x14ac:dyDescent="0.2">
      <c r="F917" s="209"/>
      <c r="G917" s="281"/>
    </row>
    <row r="918" spans="6:7" x14ac:dyDescent="0.2">
      <c r="F918" s="209"/>
      <c r="G918" s="281"/>
    </row>
    <row r="919" spans="6:7" x14ac:dyDescent="0.2">
      <c r="F919" s="209"/>
      <c r="G919" s="281"/>
    </row>
    <row r="920" spans="6:7" x14ac:dyDescent="0.2">
      <c r="F920" s="209"/>
      <c r="G920" s="281"/>
    </row>
    <row r="921" spans="6:7" x14ac:dyDescent="0.2">
      <c r="F921" s="209"/>
      <c r="G921" s="281"/>
    </row>
    <row r="922" spans="6:7" x14ac:dyDescent="0.2">
      <c r="F922" s="209"/>
      <c r="G922" s="281"/>
    </row>
    <row r="923" spans="6:7" x14ac:dyDescent="0.2">
      <c r="F923" s="209"/>
      <c r="G923" s="281"/>
    </row>
    <row r="924" spans="6:7" x14ac:dyDescent="0.2">
      <c r="F924" s="209"/>
      <c r="G924" s="281"/>
    </row>
    <row r="925" spans="6:7" x14ac:dyDescent="0.2">
      <c r="F925" s="209"/>
      <c r="G925" s="281"/>
    </row>
    <row r="926" spans="6:7" x14ac:dyDescent="0.2">
      <c r="F926" s="209"/>
      <c r="G926" s="281"/>
    </row>
    <row r="927" spans="6:7" x14ac:dyDescent="0.2">
      <c r="F927" s="209"/>
      <c r="G927" s="281"/>
    </row>
    <row r="928" spans="6:7" x14ac:dyDescent="0.2">
      <c r="F928" s="209"/>
      <c r="G928" s="281"/>
    </row>
    <row r="929" spans="6:7" x14ac:dyDescent="0.2">
      <c r="F929" s="209"/>
      <c r="G929" s="281"/>
    </row>
    <row r="930" spans="6:7" x14ac:dyDescent="0.2">
      <c r="F930" s="209"/>
      <c r="G930" s="281"/>
    </row>
    <row r="931" spans="6:7" x14ac:dyDescent="0.2">
      <c r="F931" s="209"/>
      <c r="G931" s="281"/>
    </row>
    <row r="932" spans="6:7" x14ac:dyDescent="0.2">
      <c r="F932" s="209"/>
      <c r="G932" s="281"/>
    </row>
    <row r="933" spans="6:7" x14ac:dyDescent="0.2">
      <c r="F933" s="209"/>
      <c r="G933" s="281"/>
    </row>
    <row r="934" spans="6:7" x14ac:dyDescent="0.2">
      <c r="F934" s="209"/>
      <c r="G934" s="281"/>
    </row>
    <row r="935" spans="6:7" x14ac:dyDescent="0.2">
      <c r="F935" s="209"/>
      <c r="G935" s="281"/>
    </row>
    <row r="936" spans="6:7" x14ac:dyDescent="0.2">
      <c r="F936" s="209"/>
      <c r="G936" s="281"/>
    </row>
    <row r="937" spans="6:7" x14ac:dyDescent="0.2">
      <c r="F937" s="209"/>
      <c r="G937" s="281"/>
    </row>
    <row r="938" spans="6:7" x14ac:dyDescent="0.2">
      <c r="F938" s="209"/>
      <c r="G938" s="281"/>
    </row>
    <row r="939" spans="6:7" x14ac:dyDescent="0.2">
      <c r="F939" s="209"/>
      <c r="G939" s="281"/>
    </row>
    <row r="940" spans="6:7" x14ac:dyDescent="0.2">
      <c r="F940" s="209"/>
      <c r="G940" s="281"/>
    </row>
    <row r="941" spans="6:7" x14ac:dyDescent="0.2">
      <c r="F941" s="209"/>
      <c r="G941" s="281"/>
    </row>
    <row r="942" spans="6:7" x14ac:dyDescent="0.2">
      <c r="F942" s="209"/>
      <c r="G942" s="281"/>
    </row>
    <row r="943" spans="6:7" x14ac:dyDescent="0.2">
      <c r="F943" s="209"/>
      <c r="G943" s="281"/>
    </row>
    <row r="944" spans="6:7" x14ac:dyDescent="0.2">
      <c r="F944" s="209"/>
      <c r="G944" s="281"/>
    </row>
    <row r="945" spans="6:7" x14ac:dyDescent="0.2">
      <c r="F945" s="209"/>
      <c r="G945" s="281"/>
    </row>
    <row r="946" spans="6:7" x14ac:dyDescent="0.2">
      <c r="F946" s="209"/>
      <c r="G946" s="281"/>
    </row>
    <row r="947" spans="6:7" x14ac:dyDescent="0.2">
      <c r="F947" s="209"/>
      <c r="G947" s="281"/>
    </row>
    <row r="948" spans="6:7" x14ac:dyDescent="0.2">
      <c r="F948" s="209"/>
      <c r="G948" s="281"/>
    </row>
    <row r="949" spans="6:7" x14ac:dyDescent="0.2">
      <c r="F949" s="209"/>
      <c r="G949" s="281"/>
    </row>
    <row r="950" spans="6:7" x14ac:dyDescent="0.2">
      <c r="F950" s="209"/>
      <c r="G950" s="281"/>
    </row>
    <row r="951" spans="6:7" x14ac:dyDescent="0.2">
      <c r="F951" s="209"/>
      <c r="G951" s="281"/>
    </row>
    <row r="952" spans="6:7" x14ac:dyDescent="0.2">
      <c r="F952" s="209"/>
      <c r="G952" s="281"/>
    </row>
    <row r="953" spans="6:7" x14ac:dyDescent="0.2">
      <c r="F953" s="209"/>
      <c r="G953" s="281"/>
    </row>
    <row r="954" spans="6:7" x14ac:dyDescent="0.2">
      <c r="F954" s="209"/>
      <c r="G954" s="281"/>
    </row>
    <row r="955" spans="6:7" x14ac:dyDescent="0.2">
      <c r="F955" s="209"/>
      <c r="G955" s="281"/>
    </row>
    <row r="956" spans="6:7" x14ac:dyDescent="0.2">
      <c r="F956" s="209"/>
      <c r="G956" s="281"/>
    </row>
    <row r="957" spans="6:7" x14ac:dyDescent="0.2">
      <c r="F957" s="209"/>
      <c r="G957" s="281"/>
    </row>
    <row r="958" spans="6:7" x14ac:dyDescent="0.2">
      <c r="F958" s="209"/>
      <c r="G958" s="281"/>
    </row>
    <row r="959" spans="6:7" x14ac:dyDescent="0.2">
      <c r="F959" s="209"/>
      <c r="G959" s="281"/>
    </row>
    <row r="960" spans="6:7" x14ac:dyDescent="0.2">
      <c r="F960" s="209"/>
      <c r="G960" s="281"/>
    </row>
    <row r="961" spans="6:7" x14ac:dyDescent="0.2">
      <c r="F961" s="209"/>
      <c r="G961" s="281"/>
    </row>
    <row r="962" spans="6:7" x14ac:dyDescent="0.2">
      <c r="F962" s="209"/>
      <c r="G962" s="281"/>
    </row>
    <row r="963" spans="6:7" x14ac:dyDescent="0.2">
      <c r="F963" s="209"/>
      <c r="G963" s="281"/>
    </row>
    <row r="964" spans="6:7" x14ac:dyDescent="0.2">
      <c r="F964" s="209"/>
      <c r="G964" s="281"/>
    </row>
    <row r="965" spans="6:7" x14ac:dyDescent="0.2">
      <c r="F965" s="209"/>
      <c r="G965" s="281"/>
    </row>
    <row r="966" spans="6:7" x14ac:dyDescent="0.2">
      <c r="F966" s="209"/>
      <c r="G966" s="281"/>
    </row>
    <row r="967" spans="6:7" x14ac:dyDescent="0.2">
      <c r="F967" s="209"/>
      <c r="G967" s="281"/>
    </row>
    <row r="968" spans="6:7" x14ac:dyDescent="0.2">
      <c r="F968" s="209"/>
      <c r="G968" s="281"/>
    </row>
    <row r="969" spans="6:7" x14ac:dyDescent="0.2">
      <c r="F969" s="209"/>
      <c r="G969" s="281"/>
    </row>
    <row r="970" spans="6:7" x14ac:dyDescent="0.2">
      <c r="F970" s="209"/>
      <c r="G970" s="281"/>
    </row>
    <row r="971" spans="6:7" x14ac:dyDescent="0.2">
      <c r="F971" s="209"/>
      <c r="G971" s="281"/>
    </row>
    <row r="972" spans="6:7" x14ac:dyDescent="0.2">
      <c r="F972" s="209"/>
      <c r="G972" s="281"/>
    </row>
    <row r="973" spans="6:7" x14ac:dyDescent="0.2">
      <c r="F973" s="209"/>
      <c r="G973" s="281"/>
    </row>
    <row r="974" spans="6:7" x14ac:dyDescent="0.2">
      <c r="F974" s="209"/>
      <c r="G974" s="281"/>
    </row>
    <row r="975" spans="6:7" x14ac:dyDescent="0.2">
      <c r="F975" s="209"/>
      <c r="G975" s="281"/>
    </row>
    <row r="976" spans="6:7" x14ac:dyDescent="0.2">
      <c r="F976" s="209"/>
      <c r="G976" s="281"/>
    </row>
    <row r="977" spans="6:7" x14ac:dyDescent="0.2">
      <c r="F977" s="209"/>
      <c r="G977" s="281"/>
    </row>
    <row r="978" spans="6:7" x14ac:dyDescent="0.2">
      <c r="F978" s="209"/>
      <c r="G978" s="281"/>
    </row>
    <row r="979" spans="6:7" x14ac:dyDescent="0.2">
      <c r="F979" s="209"/>
      <c r="G979" s="281"/>
    </row>
    <row r="980" spans="6:7" x14ac:dyDescent="0.2">
      <c r="F980" s="209"/>
      <c r="G980" s="281"/>
    </row>
    <row r="981" spans="6:7" x14ac:dyDescent="0.2">
      <c r="F981" s="209"/>
      <c r="G981" s="281"/>
    </row>
    <row r="982" spans="6:7" x14ac:dyDescent="0.2">
      <c r="F982" s="209"/>
      <c r="G982" s="281"/>
    </row>
    <row r="983" spans="6:7" x14ac:dyDescent="0.2">
      <c r="F983" s="209"/>
      <c r="G983" s="281"/>
    </row>
    <row r="984" spans="6:7" x14ac:dyDescent="0.2">
      <c r="F984" s="209"/>
      <c r="G984" s="281"/>
    </row>
    <row r="985" spans="6:7" x14ac:dyDescent="0.2">
      <c r="F985" s="209"/>
      <c r="G985" s="281"/>
    </row>
    <row r="986" spans="6:7" x14ac:dyDescent="0.2">
      <c r="F986" s="209"/>
      <c r="G986" s="281"/>
    </row>
    <row r="987" spans="6:7" x14ac:dyDescent="0.2">
      <c r="F987" s="209"/>
      <c r="G987" s="281"/>
    </row>
    <row r="988" spans="6:7" x14ac:dyDescent="0.2">
      <c r="F988" s="209"/>
      <c r="G988" s="281"/>
    </row>
    <row r="989" spans="6:7" x14ac:dyDescent="0.2">
      <c r="F989" s="209"/>
      <c r="G989" s="281"/>
    </row>
    <row r="990" spans="6:7" x14ac:dyDescent="0.2">
      <c r="F990" s="209"/>
      <c r="G990" s="281"/>
    </row>
    <row r="991" spans="6:7" x14ac:dyDescent="0.2">
      <c r="F991" s="209"/>
      <c r="G991" s="281"/>
    </row>
    <row r="992" spans="6:7" x14ac:dyDescent="0.2">
      <c r="F992" s="209"/>
      <c r="G992" s="281"/>
    </row>
    <row r="993" spans="6:7" x14ac:dyDescent="0.2">
      <c r="F993" s="209"/>
      <c r="G993" s="281"/>
    </row>
    <row r="994" spans="6:7" x14ac:dyDescent="0.2">
      <c r="F994" s="209"/>
      <c r="G994" s="281"/>
    </row>
    <row r="995" spans="6:7" x14ac:dyDescent="0.2">
      <c r="F995" s="209"/>
      <c r="G995" s="281"/>
    </row>
    <row r="996" spans="6:7" x14ac:dyDescent="0.2">
      <c r="F996" s="209"/>
      <c r="G996" s="281"/>
    </row>
    <row r="997" spans="6:7" x14ac:dyDescent="0.2">
      <c r="F997" s="209"/>
      <c r="G997" s="281"/>
    </row>
    <row r="998" spans="6:7" x14ac:dyDescent="0.2">
      <c r="F998" s="209"/>
      <c r="G998" s="281"/>
    </row>
    <row r="999" spans="6:7" x14ac:dyDescent="0.2">
      <c r="F999" s="209"/>
      <c r="G999" s="281"/>
    </row>
    <row r="1000" spans="6:7" x14ac:dyDescent="0.2">
      <c r="F1000" s="209"/>
      <c r="G1000" s="281"/>
    </row>
    <row r="1001" spans="6:7" x14ac:dyDescent="0.2">
      <c r="F1001" s="209"/>
      <c r="G1001" s="281"/>
    </row>
    <row r="1002" spans="6:7" x14ac:dyDescent="0.2">
      <c r="F1002" s="209"/>
      <c r="G1002" s="281"/>
    </row>
    <row r="1003" spans="6:7" x14ac:dyDescent="0.2">
      <c r="F1003" s="209"/>
      <c r="G1003" s="281"/>
    </row>
    <row r="1004" spans="6:7" x14ac:dyDescent="0.2">
      <c r="F1004" s="209"/>
      <c r="G1004" s="281"/>
    </row>
    <row r="1005" spans="6:7" x14ac:dyDescent="0.2">
      <c r="F1005" s="209"/>
      <c r="G1005" s="281"/>
    </row>
    <row r="1006" spans="6:7" x14ac:dyDescent="0.2">
      <c r="F1006" s="209"/>
      <c r="G1006" s="281"/>
    </row>
    <row r="1007" spans="6:7" x14ac:dyDescent="0.2">
      <c r="F1007" s="209"/>
      <c r="G1007" s="281"/>
    </row>
    <row r="1008" spans="6:7" x14ac:dyDescent="0.2">
      <c r="F1008" s="209"/>
      <c r="G1008" s="281"/>
    </row>
    <row r="1009" spans="6:7" x14ac:dyDescent="0.2">
      <c r="F1009" s="209"/>
      <c r="G1009" s="281"/>
    </row>
    <row r="1010" spans="6:7" x14ac:dyDescent="0.2">
      <c r="F1010" s="209"/>
      <c r="G1010" s="281"/>
    </row>
    <row r="1011" spans="6:7" x14ac:dyDescent="0.2">
      <c r="F1011" s="209"/>
      <c r="G1011" s="281"/>
    </row>
    <row r="1012" spans="6:7" x14ac:dyDescent="0.2">
      <c r="F1012" s="209"/>
      <c r="G1012" s="281"/>
    </row>
    <row r="1013" spans="6:7" x14ac:dyDescent="0.2">
      <c r="F1013" s="209"/>
      <c r="G1013" s="281"/>
    </row>
    <row r="1014" spans="6:7" x14ac:dyDescent="0.2">
      <c r="F1014" s="209"/>
      <c r="G1014" s="281"/>
    </row>
    <row r="1015" spans="6:7" x14ac:dyDescent="0.2">
      <c r="F1015" s="209"/>
      <c r="G1015" s="281"/>
    </row>
    <row r="1016" spans="6:7" x14ac:dyDescent="0.2">
      <c r="F1016" s="209"/>
      <c r="G1016" s="281"/>
    </row>
    <row r="1017" spans="6:7" x14ac:dyDescent="0.2">
      <c r="F1017" s="209"/>
      <c r="G1017" s="281"/>
    </row>
    <row r="1018" spans="6:7" x14ac:dyDescent="0.2">
      <c r="F1018" s="209"/>
      <c r="G1018" s="281"/>
    </row>
    <row r="1019" spans="6:7" x14ac:dyDescent="0.2">
      <c r="F1019" s="209"/>
      <c r="G1019" s="281"/>
    </row>
    <row r="1020" spans="6:7" x14ac:dyDescent="0.2">
      <c r="F1020" s="209"/>
      <c r="G1020" s="281"/>
    </row>
    <row r="1021" spans="6:7" x14ac:dyDescent="0.2">
      <c r="F1021" s="209"/>
      <c r="G1021" s="281"/>
    </row>
    <row r="1022" spans="6:7" x14ac:dyDescent="0.2">
      <c r="F1022" s="209"/>
      <c r="G1022" s="281"/>
    </row>
    <row r="1023" spans="6:7" x14ac:dyDescent="0.2">
      <c r="F1023" s="209"/>
      <c r="G1023" s="281"/>
    </row>
    <row r="1024" spans="6:7" x14ac:dyDescent="0.2">
      <c r="F1024" s="209"/>
      <c r="G1024" s="281"/>
    </row>
    <row r="1025" spans="6:7" x14ac:dyDescent="0.2">
      <c r="F1025" s="209"/>
      <c r="G1025" s="281"/>
    </row>
    <row r="1026" spans="6:7" x14ac:dyDescent="0.2">
      <c r="F1026" s="209"/>
      <c r="G1026" s="281"/>
    </row>
    <row r="1027" spans="6:7" x14ac:dyDescent="0.2">
      <c r="F1027" s="209"/>
      <c r="G1027" s="281"/>
    </row>
    <row r="1028" spans="6:7" x14ac:dyDescent="0.2">
      <c r="F1028" s="209"/>
      <c r="G1028" s="281"/>
    </row>
    <row r="1029" spans="6:7" x14ac:dyDescent="0.2">
      <c r="F1029" s="209"/>
      <c r="G1029" s="281"/>
    </row>
    <row r="1030" spans="6:7" x14ac:dyDescent="0.2">
      <c r="F1030" s="209"/>
      <c r="G1030" s="281"/>
    </row>
    <row r="1031" spans="6:7" x14ac:dyDescent="0.2">
      <c r="F1031" s="209"/>
      <c r="G1031" s="281"/>
    </row>
    <row r="1032" spans="6:7" x14ac:dyDescent="0.2">
      <c r="F1032" s="209"/>
      <c r="G1032" s="281"/>
    </row>
    <row r="1033" spans="6:7" x14ac:dyDescent="0.2">
      <c r="F1033" s="209"/>
      <c r="G1033" s="281"/>
    </row>
    <row r="1034" spans="6:7" x14ac:dyDescent="0.2">
      <c r="F1034" s="209"/>
      <c r="G1034" s="281"/>
    </row>
    <row r="1035" spans="6:7" x14ac:dyDescent="0.2">
      <c r="F1035" s="209"/>
      <c r="G1035" s="281"/>
    </row>
    <row r="1036" spans="6:7" x14ac:dyDescent="0.2">
      <c r="F1036" s="209"/>
      <c r="G1036" s="281"/>
    </row>
    <row r="1037" spans="6:7" x14ac:dyDescent="0.2">
      <c r="F1037" s="209"/>
      <c r="G1037" s="281"/>
    </row>
    <row r="1038" spans="6:7" x14ac:dyDescent="0.2">
      <c r="F1038" s="209"/>
      <c r="G1038" s="281"/>
    </row>
    <row r="1039" spans="6:7" x14ac:dyDescent="0.2">
      <c r="F1039" s="209"/>
      <c r="G1039" s="281"/>
    </row>
    <row r="1040" spans="6:7" x14ac:dyDescent="0.2">
      <c r="F1040" s="209"/>
      <c r="G1040" s="281"/>
    </row>
    <row r="1041" spans="6:7" x14ac:dyDescent="0.2">
      <c r="F1041" s="209"/>
      <c r="G1041" s="281"/>
    </row>
    <row r="1042" spans="6:7" x14ac:dyDescent="0.2">
      <c r="F1042" s="209"/>
      <c r="G1042" s="281"/>
    </row>
    <row r="1043" spans="6:7" x14ac:dyDescent="0.2">
      <c r="F1043" s="209"/>
      <c r="G1043" s="281"/>
    </row>
    <row r="1044" spans="6:7" x14ac:dyDescent="0.2">
      <c r="F1044" s="209"/>
      <c r="G1044" s="281"/>
    </row>
    <row r="1045" spans="6:7" x14ac:dyDescent="0.2">
      <c r="F1045" s="209"/>
      <c r="G1045" s="281"/>
    </row>
    <row r="1046" spans="6:7" x14ac:dyDescent="0.2">
      <c r="F1046" s="209"/>
      <c r="G1046" s="281"/>
    </row>
    <row r="1047" spans="6:7" x14ac:dyDescent="0.2">
      <c r="F1047" s="209"/>
      <c r="G1047" s="281"/>
    </row>
    <row r="1048" spans="6:7" x14ac:dyDescent="0.2">
      <c r="F1048" s="209"/>
      <c r="G1048" s="281"/>
    </row>
    <row r="1049" spans="6:7" x14ac:dyDescent="0.2">
      <c r="F1049" s="209"/>
      <c r="G1049" s="281"/>
    </row>
    <row r="1050" spans="6:7" x14ac:dyDescent="0.2">
      <c r="F1050" s="209"/>
      <c r="G1050" s="281"/>
    </row>
    <row r="1051" spans="6:7" x14ac:dyDescent="0.2">
      <c r="F1051" s="209"/>
      <c r="G1051" s="281"/>
    </row>
    <row r="1052" spans="6:7" x14ac:dyDescent="0.2">
      <c r="F1052" s="209"/>
      <c r="G1052" s="281"/>
    </row>
    <row r="1053" spans="6:7" x14ac:dyDescent="0.2">
      <c r="F1053" s="209"/>
      <c r="G1053" s="281"/>
    </row>
    <row r="1054" spans="6:7" x14ac:dyDescent="0.2">
      <c r="F1054" s="209"/>
      <c r="G1054" s="281"/>
    </row>
    <row r="1055" spans="6:7" x14ac:dyDescent="0.2">
      <c r="F1055" s="209"/>
      <c r="G1055" s="281"/>
    </row>
    <row r="1056" spans="6:7" x14ac:dyDescent="0.2">
      <c r="F1056" s="209"/>
      <c r="G1056" s="281"/>
    </row>
    <row r="1057" spans="6:7" x14ac:dyDescent="0.2">
      <c r="F1057" s="209"/>
      <c r="G1057" s="281"/>
    </row>
    <row r="1058" spans="6:7" x14ac:dyDescent="0.2">
      <c r="F1058" s="209"/>
      <c r="G1058" s="281"/>
    </row>
    <row r="1059" spans="6:7" x14ac:dyDescent="0.2">
      <c r="F1059" s="209"/>
      <c r="G1059" s="281"/>
    </row>
    <row r="1060" spans="6:7" x14ac:dyDescent="0.2">
      <c r="F1060" s="209"/>
      <c r="G1060" s="281"/>
    </row>
    <row r="1061" spans="6:7" x14ac:dyDescent="0.2">
      <c r="F1061" s="209"/>
      <c r="G1061" s="281"/>
    </row>
    <row r="1062" spans="6:7" x14ac:dyDescent="0.2">
      <c r="F1062" s="209"/>
      <c r="G1062" s="281"/>
    </row>
    <row r="1063" spans="6:7" x14ac:dyDescent="0.2">
      <c r="F1063" s="209"/>
      <c r="G1063" s="281"/>
    </row>
    <row r="1064" spans="6:7" x14ac:dyDescent="0.2">
      <c r="F1064" s="209"/>
      <c r="G1064" s="281"/>
    </row>
    <row r="1065" spans="6:7" x14ac:dyDescent="0.2">
      <c r="F1065" s="209"/>
      <c r="G1065" s="281"/>
    </row>
    <row r="1066" spans="6:7" x14ac:dyDescent="0.2">
      <c r="F1066" s="209"/>
      <c r="G1066" s="281"/>
    </row>
    <row r="1067" spans="6:7" x14ac:dyDescent="0.2">
      <c r="F1067" s="209"/>
      <c r="G1067" s="281"/>
    </row>
    <row r="1068" spans="6:7" x14ac:dyDescent="0.2">
      <c r="F1068" s="209"/>
      <c r="G1068" s="281"/>
    </row>
    <row r="1069" spans="6:7" x14ac:dyDescent="0.2">
      <c r="F1069" s="209"/>
      <c r="G1069" s="281"/>
    </row>
    <row r="1070" spans="6:7" x14ac:dyDescent="0.2">
      <c r="F1070" s="209"/>
      <c r="G1070" s="281"/>
    </row>
    <row r="1071" spans="6:7" x14ac:dyDescent="0.2">
      <c r="F1071" s="209"/>
      <c r="G1071" s="281"/>
    </row>
    <row r="1072" spans="6:7" x14ac:dyDescent="0.2">
      <c r="F1072" s="209"/>
      <c r="G1072" s="281"/>
    </row>
    <row r="1073" spans="6:7" x14ac:dyDescent="0.2">
      <c r="F1073" s="209"/>
      <c r="G1073" s="281"/>
    </row>
    <row r="1074" spans="6:7" x14ac:dyDescent="0.2">
      <c r="F1074" s="209"/>
      <c r="G1074" s="281"/>
    </row>
    <row r="1075" spans="6:7" x14ac:dyDescent="0.2">
      <c r="F1075" s="209"/>
      <c r="G1075" s="281"/>
    </row>
    <row r="1076" spans="6:7" x14ac:dyDescent="0.2">
      <c r="F1076" s="209"/>
      <c r="G1076" s="281"/>
    </row>
    <row r="1077" spans="6:7" x14ac:dyDescent="0.2">
      <c r="F1077" s="209"/>
      <c r="G1077" s="281"/>
    </row>
    <row r="1078" spans="6:7" x14ac:dyDescent="0.2">
      <c r="F1078" s="209"/>
      <c r="G1078" s="281"/>
    </row>
    <row r="1079" spans="6:7" x14ac:dyDescent="0.2">
      <c r="F1079" s="209"/>
      <c r="G1079" s="281"/>
    </row>
    <row r="1080" spans="6:7" x14ac:dyDescent="0.2">
      <c r="F1080" s="209"/>
      <c r="G1080" s="281"/>
    </row>
    <row r="1081" spans="6:7" x14ac:dyDescent="0.2">
      <c r="F1081" s="209"/>
      <c r="G1081" s="281"/>
    </row>
    <row r="1082" spans="6:7" x14ac:dyDescent="0.2">
      <c r="F1082" s="209"/>
      <c r="G1082" s="281"/>
    </row>
    <row r="1083" spans="6:7" x14ac:dyDescent="0.2">
      <c r="F1083" s="209"/>
      <c r="G1083" s="281"/>
    </row>
    <row r="1084" spans="6:7" x14ac:dyDescent="0.2">
      <c r="F1084" s="209"/>
      <c r="G1084" s="281"/>
    </row>
    <row r="1085" spans="6:7" x14ac:dyDescent="0.2">
      <c r="F1085" s="209"/>
      <c r="G1085" s="281"/>
    </row>
    <row r="1086" spans="6:7" x14ac:dyDescent="0.2">
      <c r="F1086" s="209"/>
      <c r="G1086" s="281"/>
    </row>
    <row r="1087" spans="6:7" x14ac:dyDescent="0.2">
      <c r="F1087" s="209"/>
      <c r="G1087" s="281"/>
    </row>
    <row r="1088" spans="6:7" x14ac:dyDescent="0.2">
      <c r="F1088" s="209"/>
      <c r="G1088" s="281"/>
    </row>
    <row r="1089" spans="6:7" x14ac:dyDescent="0.2">
      <c r="F1089" s="209"/>
      <c r="G1089" s="281"/>
    </row>
    <row r="1090" spans="6:7" x14ac:dyDescent="0.2">
      <c r="F1090" s="209"/>
      <c r="G1090" s="281"/>
    </row>
    <row r="1091" spans="6:7" x14ac:dyDescent="0.2">
      <c r="F1091" s="209"/>
      <c r="G1091" s="281"/>
    </row>
    <row r="1092" spans="6:7" x14ac:dyDescent="0.2">
      <c r="F1092" s="209"/>
      <c r="G1092" s="281"/>
    </row>
    <row r="1093" spans="6:7" x14ac:dyDescent="0.2">
      <c r="F1093" s="209"/>
      <c r="G1093" s="281"/>
    </row>
    <row r="1094" spans="6:7" x14ac:dyDescent="0.2">
      <c r="F1094" s="209"/>
      <c r="G1094" s="281"/>
    </row>
    <row r="1095" spans="6:7" x14ac:dyDescent="0.2">
      <c r="F1095" s="209"/>
      <c r="G1095" s="281"/>
    </row>
    <row r="1096" spans="6:7" x14ac:dyDescent="0.2">
      <c r="F1096" s="209"/>
      <c r="G1096" s="281"/>
    </row>
    <row r="1097" spans="6:7" x14ac:dyDescent="0.2">
      <c r="F1097" s="209"/>
      <c r="G1097" s="281"/>
    </row>
    <row r="1098" spans="6:7" x14ac:dyDescent="0.2">
      <c r="F1098" s="209"/>
      <c r="G1098" s="281"/>
    </row>
    <row r="1099" spans="6:7" x14ac:dyDescent="0.2">
      <c r="F1099" s="209"/>
      <c r="G1099" s="281"/>
    </row>
    <row r="1100" spans="6:7" x14ac:dyDescent="0.2">
      <c r="F1100" s="209"/>
      <c r="G1100" s="281"/>
    </row>
    <row r="1101" spans="6:7" x14ac:dyDescent="0.2">
      <c r="F1101" s="209"/>
      <c r="G1101" s="281"/>
    </row>
    <row r="1102" spans="6:7" x14ac:dyDescent="0.2">
      <c r="F1102" s="209"/>
      <c r="G1102" s="281"/>
    </row>
    <row r="1103" spans="6:7" x14ac:dyDescent="0.2">
      <c r="F1103" s="209"/>
      <c r="G1103" s="281"/>
    </row>
    <row r="1104" spans="6:7" x14ac:dyDescent="0.2">
      <c r="F1104" s="209"/>
      <c r="G1104" s="281"/>
    </row>
    <row r="1105" spans="6:7" x14ac:dyDescent="0.2">
      <c r="F1105" s="209"/>
      <c r="G1105" s="281"/>
    </row>
    <row r="1106" spans="6:7" x14ac:dyDescent="0.2">
      <c r="F1106" s="209"/>
      <c r="G1106" s="281"/>
    </row>
    <row r="1107" spans="6:7" x14ac:dyDescent="0.2">
      <c r="F1107" s="209"/>
      <c r="G1107" s="281"/>
    </row>
    <row r="1108" spans="6:7" x14ac:dyDescent="0.2">
      <c r="F1108" s="209"/>
      <c r="G1108" s="281"/>
    </row>
    <row r="1109" spans="6:7" x14ac:dyDescent="0.2">
      <c r="F1109" s="209"/>
      <c r="G1109" s="281"/>
    </row>
    <row r="1110" spans="6:7" x14ac:dyDescent="0.2">
      <c r="F1110" s="209"/>
      <c r="G1110" s="281"/>
    </row>
    <row r="1111" spans="6:7" x14ac:dyDescent="0.2">
      <c r="F1111" s="209"/>
      <c r="G1111" s="281"/>
    </row>
    <row r="1112" spans="6:7" x14ac:dyDescent="0.2">
      <c r="F1112" s="209"/>
      <c r="G1112" s="281"/>
    </row>
    <row r="1113" spans="6:7" x14ac:dyDescent="0.2">
      <c r="F1113" s="209"/>
      <c r="G1113" s="281"/>
    </row>
    <row r="1114" spans="6:7" x14ac:dyDescent="0.2">
      <c r="F1114" s="209"/>
      <c r="G1114" s="281"/>
    </row>
    <row r="1115" spans="6:7" x14ac:dyDescent="0.2">
      <c r="F1115" s="209"/>
      <c r="G1115" s="281"/>
    </row>
    <row r="1116" spans="6:7" x14ac:dyDescent="0.2">
      <c r="F1116" s="209"/>
      <c r="G1116" s="281"/>
    </row>
    <row r="1117" spans="6:7" x14ac:dyDescent="0.2">
      <c r="F1117" s="209"/>
      <c r="G1117" s="281"/>
    </row>
    <row r="1118" spans="6:7" x14ac:dyDescent="0.2">
      <c r="F1118" s="209"/>
      <c r="G1118" s="281"/>
    </row>
    <row r="1119" spans="6:7" x14ac:dyDescent="0.2">
      <c r="F1119" s="209"/>
      <c r="G1119" s="281"/>
    </row>
    <row r="1120" spans="6:7" x14ac:dyDescent="0.2">
      <c r="F1120" s="209"/>
      <c r="G1120" s="281"/>
    </row>
    <row r="1121" spans="6:7" x14ac:dyDescent="0.2">
      <c r="F1121" s="209"/>
      <c r="G1121" s="281"/>
    </row>
    <row r="1122" spans="6:7" x14ac:dyDescent="0.2">
      <c r="F1122" s="209"/>
      <c r="G1122" s="281"/>
    </row>
    <row r="1123" spans="6:7" x14ac:dyDescent="0.2">
      <c r="F1123" s="209"/>
      <c r="G1123" s="281"/>
    </row>
    <row r="1124" spans="6:7" x14ac:dyDescent="0.2">
      <c r="F1124" s="209"/>
      <c r="G1124" s="281"/>
    </row>
    <row r="1125" spans="6:7" x14ac:dyDescent="0.2">
      <c r="F1125" s="209"/>
      <c r="G1125" s="281"/>
    </row>
    <row r="1126" spans="6:7" x14ac:dyDescent="0.2">
      <c r="F1126" s="209"/>
      <c r="G1126" s="281"/>
    </row>
    <row r="1127" spans="6:7" x14ac:dyDescent="0.2">
      <c r="F1127" s="209"/>
      <c r="G1127" s="281"/>
    </row>
    <row r="1128" spans="6:7" x14ac:dyDescent="0.2">
      <c r="F1128" s="209"/>
      <c r="G1128" s="281"/>
    </row>
    <row r="1129" spans="6:7" x14ac:dyDescent="0.2">
      <c r="F1129" s="209"/>
      <c r="G1129" s="281"/>
    </row>
    <row r="1130" spans="6:7" x14ac:dyDescent="0.2">
      <c r="F1130" s="209"/>
      <c r="G1130" s="281"/>
    </row>
    <row r="1131" spans="6:7" x14ac:dyDescent="0.2">
      <c r="F1131" s="209"/>
      <c r="G1131" s="281"/>
    </row>
    <row r="1132" spans="6:7" x14ac:dyDescent="0.2">
      <c r="F1132" s="209"/>
      <c r="G1132" s="281"/>
    </row>
    <row r="1133" spans="6:7" x14ac:dyDescent="0.2">
      <c r="F1133" s="209"/>
      <c r="G1133" s="281"/>
    </row>
    <row r="1134" spans="6:7" x14ac:dyDescent="0.2">
      <c r="F1134" s="209"/>
      <c r="G1134" s="281"/>
    </row>
    <row r="1135" spans="6:7" x14ac:dyDescent="0.2">
      <c r="F1135" s="209"/>
      <c r="G1135" s="281"/>
    </row>
    <row r="1136" spans="6:7" x14ac:dyDescent="0.2">
      <c r="F1136" s="209"/>
      <c r="G1136" s="281"/>
    </row>
    <row r="1137" spans="6:7" x14ac:dyDescent="0.2">
      <c r="F1137" s="209"/>
      <c r="G1137" s="281"/>
    </row>
    <row r="1138" spans="6:7" x14ac:dyDescent="0.2">
      <c r="F1138" s="209"/>
      <c r="G1138" s="281"/>
    </row>
    <row r="1139" spans="6:7" x14ac:dyDescent="0.2">
      <c r="F1139" s="209"/>
      <c r="G1139" s="281"/>
    </row>
    <row r="1140" spans="6:7" x14ac:dyDescent="0.2">
      <c r="F1140" s="209"/>
      <c r="G1140" s="281"/>
    </row>
    <row r="1141" spans="6:7" x14ac:dyDescent="0.2">
      <c r="F1141" s="209"/>
      <c r="G1141" s="281"/>
    </row>
    <row r="1142" spans="6:7" x14ac:dyDescent="0.2">
      <c r="F1142" s="209"/>
      <c r="G1142" s="281"/>
    </row>
    <row r="1143" spans="6:7" x14ac:dyDescent="0.2">
      <c r="F1143" s="209"/>
      <c r="G1143" s="281"/>
    </row>
    <row r="1144" spans="6:7" x14ac:dyDescent="0.2">
      <c r="F1144" s="209"/>
      <c r="G1144" s="281"/>
    </row>
    <row r="1145" spans="6:7" x14ac:dyDescent="0.2">
      <c r="F1145" s="209"/>
      <c r="G1145" s="281"/>
    </row>
    <row r="1146" spans="6:7" x14ac:dyDescent="0.2">
      <c r="F1146" s="209"/>
      <c r="G1146" s="281"/>
    </row>
    <row r="1147" spans="6:7" x14ac:dyDescent="0.2">
      <c r="F1147" s="209"/>
      <c r="G1147" s="281"/>
    </row>
    <row r="1148" spans="6:7" x14ac:dyDescent="0.2">
      <c r="F1148" s="209"/>
      <c r="G1148" s="281"/>
    </row>
    <row r="1149" spans="6:7" x14ac:dyDescent="0.2">
      <c r="F1149" s="209"/>
      <c r="G1149" s="281"/>
    </row>
    <row r="1150" spans="6:7" x14ac:dyDescent="0.2">
      <c r="F1150" s="209"/>
      <c r="G1150" s="281"/>
    </row>
    <row r="1151" spans="6:7" x14ac:dyDescent="0.2">
      <c r="F1151" s="209"/>
      <c r="G1151" s="281"/>
    </row>
    <row r="1152" spans="6:7" x14ac:dyDescent="0.2">
      <c r="F1152" s="209"/>
      <c r="G1152" s="281"/>
    </row>
    <row r="1153" spans="6:7" x14ac:dyDescent="0.2">
      <c r="F1153" s="209"/>
      <c r="G1153" s="281"/>
    </row>
    <row r="1154" spans="6:7" x14ac:dyDescent="0.2">
      <c r="F1154" s="209"/>
      <c r="G1154" s="281"/>
    </row>
    <row r="1155" spans="6:7" x14ac:dyDescent="0.2">
      <c r="F1155" s="209"/>
      <c r="G1155" s="281"/>
    </row>
    <row r="1156" spans="6:7" x14ac:dyDescent="0.2">
      <c r="F1156" s="209"/>
      <c r="G1156" s="281"/>
    </row>
    <row r="1157" spans="6:7" x14ac:dyDescent="0.2">
      <c r="F1157" s="209"/>
      <c r="G1157" s="281"/>
    </row>
    <row r="1158" spans="6:7" x14ac:dyDescent="0.2">
      <c r="F1158" s="209"/>
      <c r="G1158" s="281"/>
    </row>
    <row r="1159" spans="6:7" x14ac:dyDescent="0.2">
      <c r="F1159" s="209"/>
      <c r="G1159" s="281"/>
    </row>
    <row r="1160" spans="6:7" x14ac:dyDescent="0.2">
      <c r="F1160" s="209"/>
      <c r="G1160" s="281"/>
    </row>
    <row r="1161" spans="6:7" x14ac:dyDescent="0.2">
      <c r="F1161" s="209"/>
      <c r="G1161" s="281"/>
    </row>
    <row r="1162" spans="6:7" x14ac:dyDescent="0.2">
      <c r="F1162" s="209"/>
      <c r="G1162" s="281"/>
    </row>
    <row r="1163" spans="6:7" x14ac:dyDescent="0.2">
      <c r="F1163" s="209"/>
      <c r="G1163" s="281"/>
    </row>
    <row r="1164" spans="6:7" x14ac:dyDescent="0.2">
      <c r="F1164" s="209"/>
      <c r="G1164" s="281"/>
    </row>
    <row r="1165" spans="6:7" x14ac:dyDescent="0.2">
      <c r="F1165" s="209"/>
      <c r="G1165" s="281"/>
    </row>
    <row r="1166" spans="6:7" x14ac:dyDescent="0.2">
      <c r="F1166" s="209"/>
      <c r="G1166" s="281"/>
    </row>
    <row r="1167" spans="6:7" x14ac:dyDescent="0.2">
      <c r="F1167" s="209"/>
      <c r="G1167" s="281"/>
    </row>
    <row r="1168" spans="6:7" x14ac:dyDescent="0.2">
      <c r="F1168" s="209"/>
      <c r="G1168" s="281"/>
    </row>
    <row r="1169" spans="6:7" x14ac:dyDescent="0.2">
      <c r="F1169" s="209"/>
      <c r="G1169" s="281"/>
    </row>
    <row r="1170" spans="6:7" x14ac:dyDescent="0.2">
      <c r="F1170" s="209"/>
      <c r="G1170" s="281"/>
    </row>
    <row r="1171" spans="6:7" x14ac:dyDescent="0.2">
      <c r="F1171" s="209"/>
      <c r="G1171" s="281"/>
    </row>
    <row r="1172" spans="6:7" x14ac:dyDescent="0.2">
      <c r="F1172" s="209"/>
      <c r="G1172" s="281"/>
    </row>
    <row r="1173" spans="6:7" x14ac:dyDescent="0.2">
      <c r="F1173" s="209"/>
      <c r="G1173" s="281"/>
    </row>
    <row r="1174" spans="6:7" x14ac:dyDescent="0.2">
      <c r="F1174" s="209"/>
      <c r="G1174" s="281"/>
    </row>
    <row r="1175" spans="6:7" x14ac:dyDescent="0.2">
      <c r="F1175" s="209"/>
      <c r="G1175" s="281"/>
    </row>
    <row r="1176" spans="6:7" x14ac:dyDescent="0.2">
      <c r="F1176" s="209"/>
      <c r="G1176" s="281"/>
    </row>
    <row r="1177" spans="6:7" x14ac:dyDescent="0.2">
      <c r="F1177" s="209"/>
      <c r="G1177" s="281"/>
    </row>
    <row r="1178" spans="6:7" x14ac:dyDescent="0.2">
      <c r="F1178" s="209"/>
      <c r="G1178" s="281"/>
    </row>
    <row r="1179" spans="6:7" x14ac:dyDescent="0.2">
      <c r="F1179" s="209"/>
      <c r="G1179" s="281"/>
    </row>
    <row r="1180" spans="6:7" x14ac:dyDescent="0.2">
      <c r="F1180" s="209"/>
      <c r="G1180" s="281"/>
    </row>
    <row r="1181" spans="6:7" x14ac:dyDescent="0.2">
      <c r="F1181" s="209"/>
      <c r="G1181" s="281"/>
    </row>
    <row r="1182" spans="6:7" x14ac:dyDescent="0.2">
      <c r="F1182" s="209"/>
      <c r="G1182" s="281"/>
    </row>
    <row r="1183" spans="6:7" x14ac:dyDescent="0.2">
      <c r="F1183" s="209"/>
      <c r="G1183" s="281"/>
    </row>
    <row r="1184" spans="6:7" x14ac:dyDescent="0.2">
      <c r="F1184" s="209"/>
      <c r="G1184" s="281"/>
    </row>
    <row r="1185" spans="6:7" x14ac:dyDescent="0.2">
      <c r="F1185" s="209"/>
      <c r="G1185" s="281"/>
    </row>
    <row r="1186" spans="6:7" x14ac:dyDescent="0.2">
      <c r="F1186" s="209"/>
      <c r="G1186" s="281"/>
    </row>
    <row r="1187" spans="6:7" x14ac:dyDescent="0.2">
      <c r="F1187" s="209"/>
      <c r="G1187" s="281"/>
    </row>
    <row r="1188" spans="6:7" x14ac:dyDescent="0.2">
      <c r="F1188" s="209"/>
      <c r="G1188" s="281"/>
    </row>
    <row r="1189" spans="6:7" x14ac:dyDescent="0.2">
      <c r="F1189" s="209"/>
      <c r="G1189" s="281"/>
    </row>
    <row r="1190" spans="6:7" x14ac:dyDescent="0.2">
      <c r="F1190" s="209"/>
      <c r="G1190" s="281"/>
    </row>
    <row r="1191" spans="6:7" x14ac:dyDescent="0.2">
      <c r="F1191" s="209"/>
      <c r="G1191" s="281"/>
    </row>
    <row r="1192" spans="6:7" x14ac:dyDescent="0.2">
      <c r="F1192" s="209"/>
      <c r="G1192" s="281"/>
    </row>
    <row r="1193" spans="6:7" x14ac:dyDescent="0.2">
      <c r="F1193" s="209"/>
      <c r="G1193" s="281"/>
    </row>
    <row r="1194" spans="6:7" x14ac:dyDescent="0.2">
      <c r="F1194" s="209"/>
      <c r="G1194" s="281"/>
    </row>
    <row r="1195" spans="6:7" x14ac:dyDescent="0.2">
      <c r="F1195" s="209"/>
      <c r="G1195" s="281"/>
    </row>
    <row r="1196" spans="6:7" x14ac:dyDescent="0.2">
      <c r="F1196" s="209"/>
      <c r="G1196" s="281"/>
    </row>
    <row r="1197" spans="6:7" x14ac:dyDescent="0.2">
      <c r="F1197" s="209"/>
      <c r="G1197" s="281"/>
    </row>
    <row r="1198" spans="6:7" x14ac:dyDescent="0.2">
      <c r="F1198" s="209"/>
      <c r="G1198" s="281"/>
    </row>
    <row r="1199" spans="6:7" x14ac:dyDescent="0.2">
      <c r="F1199" s="209"/>
      <c r="G1199" s="281"/>
    </row>
    <row r="1200" spans="6:7" x14ac:dyDescent="0.2">
      <c r="F1200" s="209"/>
      <c r="G1200" s="281"/>
    </row>
    <row r="1201" spans="6:7" x14ac:dyDescent="0.2">
      <c r="F1201" s="209"/>
      <c r="G1201" s="281"/>
    </row>
    <row r="1202" spans="6:7" x14ac:dyDescent="0.2">
      <c r="F1202" s="209"/>
      <c r="G1202" s="281"/>
    </row>
    <row r="1203" spans="6:7" x14ac:dyDescent="0.2">
      <c r="F1203" s="209"/>
      <c r="G1203" s="281"/>
    </row>
    <row r="1204" spans="6:7" x14ac:dyDescent="0.2">
      <c r="F1204" s="209"/>
      <c r="G1204" s="281"/>
    </row>
    <row r="1205" spans="6:7" x14ac:dyDescent="0.2">
      <c r="F1205" s="209"/>
      <c r="G1205" s="281"/>
    </row>
    <row r="1206" spans="6:7" x14ac:dyDescent="0.2">
      <c r="F1206" s="209"/>
      <c r="G1206" s="281"/>
    </row>
    <row r="1207" spans="6:7" x14ac:dyDescent="0.2">
      <c r="F1207" s="209"/>
      <c r="G1207" s="281"/>
    </row>
    <row r="1208" spans="6:7" x14ac:dyDescent="0.2">
      <c r="F1208" s="209"/>
      <c r="G1208" s="281"/>
    </row>
    <row r="1209" spans="6:7" x14ac:dyDescent="0.2">
      <c r="F1209" s="209"/>
      <c r="G1209" s="281"/>
    </row>
    <row r="1210" spans="6:7" x14ac:dyDescent="0.2">
      <c r="F1210" s="209"/>
      <c r="G1210" s="281"/>
    </row>
    <row r="1211" spans="6:7" x14ac:dyDescent="0.2">
      <c r="F1211" s="209"/>
      <c r="G1211" s="281"/>
    </row>
    <row r="1212" spans="6:7" x14ac:dyDescent="0.2">
      <c r="F1212" s="209"/>
      <c r="G1212" s="281"/>
    </row>
    <row r="1213" spans="6:7" x14ac:dyDescent="0.2">
      <c r="F1213" s="209"/>
      <c r="G1213" s="281"/>
    </row>
    <row r="1214" spans="6:7" x14ac:dyDescent="0.2">
      <c r="F1214" s="209"/>
      <c r="G1214" s="281"/>
    </row>
    <row r="1215" spans="6:7" x14ac:dyDescent="0.2">
      <c r="F1215" s="209"/>
      <c r="G1215" s="281"/>
    </row>
    <row r="1216" spans="6:7" x14ac:dyDescent="0.2">
      <c r="F1216" s="209"/>
      <c r="G1216" s="281"/>
    </row>
    <row r="1217" spans="6:7" x14ac:dyDescent="0.2">
      <c r="F1217" s="209"/>
      <c r="G1217" s="281"/>
    </row>
    <row r="1218" spans="6:7" x14ac:dyDescent="0.2">
      <c r="F1218" s="209"/>
      <c r="G1218" s="281"/>
    </row>
    <row r="1219" spans="6:7" x14ac:dyDescent="0.2">
      <c r="F1219" s="209"/>
      <c r="G1219" s="281"/>
    </row>
    <row r="1220" spans="6:7" x14ac:dyDescent="0.2">
      <c r="F1220" s="209"/>
      <c r="G1220" s="281"/>
    </row>
    <row r="1221" spans="6:7" x14ac:dyDescent="0.2">
      <c r="F1221" s="209"/>
      <c r="G1221" s="281"/>
    </row>
    <row r="1222" spans="6:7" x14ac:dyDescent="0.2">
      <c r="F1222" s="209"/>
      <c r="G1222" s="281"/>
    </row>
    <row r="1223" spans="6:7" x14ac:dyDescent="0.2">
      <c r="F1223" s="209"/>
      <c r="G1223" s="281"/>
    </row>
    <row r="1224" spans="6:7" x14ac:dyDescent="0.2">
      <c r="F1224" s="209"/>
      <c r="G1224" s="281"/>
    </row>
    <row r="1225" spans="6:7" x14ac:dyDescent="0.2">
      <c r="F1225" s="209"/>
      <c r="G1225" s="281"/>
    </row>
    <row r="1226" spans="6:7" x14ac:dyDescent="0.2">
      <c r="F1226" s="209"/>
      <c r="G1226" s="281"/>
    </row>
    <row r="1227" spans="6:7" x14ac:dyDescent="0.2">
      <c r="F1227" s="209"/>
      <c r="G1227" s="281"/>
    </row>
    <row r="1228" spans="6:7" x14ac:dyDescent="0.2">
      <c r="F1228" s="209"/>
      <c r="G1228" s="281"/>
    </row>
    <row r="1229" spans="6:7" x14ac:dyDescent="0.2">
      <c r="F1229" s="209"/>
      <c r="G1229" s="281"/>
    </row>
    <row r="1230" spans="6:7" x14ac:dyDescent="0.2">
      <c r="F1230" s="209"/>
      <c r="G1230" s="281"/>
    </row>
    <row r="1231" spans="6:7" x14ac:dyDescent="0.2">
      <c r="F1231" s="209"/>
      <c r="G1231" s="281"/>
    </row>
    <row r="1232" spans="6:7" x14ac:dyDescent="0.2">
      <c r="F1232" s="209"/>
      <c r="G1232" s="281"/>
    </row>
    <row r="1233" spans="6:7" x14ac:dyDescent="0.2">
      <c r="F1233" s="209"/>
      <c r="G1233" s="281"/>
    </row>
    <row r="1234" spans="6:7" x14ac:dyDescent="0.2">
      <c r="F1234" s="209"/>
      <c r="G1234" s="281"/>
    </row>
    <row r="1235" spans="6:7" x14ac:dyDescent="0.2">
      <c r="F1235" s="209"/>
      <c r="G1235" s="281"/>
    </row>
    <row r="1236" spans="6:7" x14ac:dyDescent="0.2">
      <c r="F1236" s="209"/>
      <c r="G1236" s="281"/>
    </row>
    <row r="1237" spans="6:7" x14ac:dyDescent="0.2">
      <c r="F1237" s="209"/>
      <c r="G1237" s="281"/>
    </row>
    <row r="1238" spans="6:7" x14ac:dyDescent="0.2">
      <c r="F1238" s="209"/>
      <c r="G1238" s="281"/>
    </row>
    <row r="1239" spans="6:7" x14ac:dyDescent="0.2">
      <c r="F1239" s="209"/>
      <c r="G1239" s="281"/>
    </row>
    <row r="1240" spans="6:7" x14ac:dyDescent="0.2">
      <c r="F1240" s="209"/>
      <c r="G1240" s="281"/>
    </row>
    <row r="1241" spans="6:7" x14ac:dyDescent="0.2">
      <c r="F1241" s="209"/>
      <c r="G1241" s="281"/>
    </row>
    <row r="1242" spans="6:7" x14ac:dyDescent="0.2">
      <c r="F1242" s="209"/>
      <c r="G1242" s="281"/>
    </row>
    <row r="1243" spans="6:7" x14ac:dyDescent="0.2">
      <c r="F1243" s="209"/>
      <c r="G1243" s="281"/>
    </row>
    <row r="1244" spans="6:7" x14ac:dyDescent="0.2">
      <c r="F1244" s="209"/>
      <c r="G1244" s="281"/>
    </row>
    <row r="1245" spans="6:7" x14ac:dyDescent="0.2">
      <c r="F1245" s="209"/>
      <c r="G1245" s="281"/>
    </row>
    <row r="1246" spans="6:7" x14ac:dyDescent="0.2">
      <c r="F1246" s="209"/>
      <c r="G1246" s="281"/>
    </row>
    <row r="1247" spans="6:7" x14ac:dyDescent="0.2">
      <c r="F1247" s="209"/>
      <c r="G1247" s="281"/>
    </row>
    <row r="1248" spans="6:7" x14ac:dyDescent="0.2">
      <c r="F1248" s="209"/>
      <c r="G1248" s="281"/>
    </row>
    <row r="1249" spans="6:7" x14ac:dyDescent="0.2">
      <c r="F1249" s="209"/>
      <c r="G1249" s="281"/>
    </row>
    <row r="1250" spans="6:7" x14ac:dyDescent="0.2">
      <c r="F1250" s="209"/>
      <c r="G1250" s="281"/>
    </row>
    <row r="1251" spans="6:7" x14ac:dyDescent="0.2">
      <c r="F1251" s="209"/>
      <c r="G1251" s="281"/>
    </row>
    <row r="1252" spans="6:7" x14ac:dyDescent="0.2">
      <c r="F1252" s="209"/>
      <c r="G1252" s="281"/>
    </row>
    <row r="1253" spans="6:7" x14ac:dyDescent="0.2">
      <c r="F1253" s="209"/>
      <c r="G1253" s="281"/>
    </row>
    <row r="1254" spans="6:7" x14ac:dyDescent="0.2">
      <c r="F1254" s="209"/>
      <c r="G1254" s="281"/>
    </row>
    <row r="1255" spans="6:7" x14ac:dyDescent="0.2">
      <c r="F1255" s="209"/>
      <c r="G1255" s="281"/>
    </row>
    <row r="1256" spans="6:7" x14ac:dyDescent="0.2">
      <c r="F1256" s="209"/>
      <c r="G1256" s="281"/>
    </row>
    <row r="1257" spans="6:7" x14ac:dyDescent="0.2">
      <c r="F1257" s="209"/>
      <c r="G1257" s="281"/>
    </row>
    <row r="1258" spans="6:7" x14ac:dyDescent="0.2">
      <c r="F1258" s="209"/>
      <c r="G1258" s="281"/>
    </row>
    <row r="1259" spans="6:7" x14ac:dyDescent="0.2">
      <c r="F1259" s="209"/>
      <c r="G1259" s="281"/>
    </row>
    <row r="1260" spans="6:7" x14ac:dyDescent="0.2">
      <c r="F1260" s="209"/>
      <c r="G1260" s="281"/>
    </row>
    <row r="1261" spans="6:7" x14ac:dyDescent="0.2">
      <c r="F1261" s="209"/>
      <c r="G1261" s="281"/>
    </row>
    <row r="1262" spans="6:7" x14ac:dyDescent="0.2">
      <c r="F1262" s="209"/>
      <c r="G1262" s="281"/>
    </row>
    <row r="1263" spans="6:7" x14ac:dyDescent="0.2">
      <c r="F1263" s="209"/>
      <c r="G1263" s="281"/>
    </row>
    <row r="1264" spans="6:7" x14ac:dyDescent="0.2">
      <c r="F1264" s="209"/>
      <c r="G1264" s="281"/>
    </row>
    <row r="1265" spans="6:7" x14ac:dyDescent="0.2">
      <c r="F1265" s="209"/>
      <c r="G1265" s="281"/>
    </row>
    <row r="1266" spans="6:7" x14ac:dyDescent="0.2">
      <c r="F1266" s="209"/>
      <c r="G1266" s="281"/>
    </row>
    <row r="1267" spans="6:7" x14ac:dyDescent="0.2">
      <c r="F1267" s="209"/>
      <c r="G1267" s="281"/>
    </row>
    <row r="1268" spans="6:7" x14ac:dyDescent="0.2">
      <c r="F1268" s="209"/>
      <c r="G1268" s="281"/>
    </row>
    <row r="1269" spans="6:7" x14ac:dyDescent="0.2">
      <c r="F1269" s="209"/>
      <c r="G1269" s="281"/>
    </row>
    <row r="1270" spans="6:7" x14ac:dyDescent="0.2">
      <c r="F1270" s="209"/>
      <c r="G1270" s="281"/>
    </row>
    <row r="1271" spans="6:7" x14ac:dyDescent="0.2">
      <c r="F1271" s="209"/>
      <c r="G1271" s="281"/>
    </row>
    <row r="1272" spans="6:7" x14ac:dyDescent="0.2">
      <c r="F1272" s="209"/>
      <c r="G1272" s="281"/>
    </row>
    <row r="1273" spans="6:7" x14ac:dyDescent="0.2">
      <c r="F1273" s="209"/>
      <c r="G1273" s="281"/>
    </row>
    <row r="1274" spans="6:7" x14ac:dyDescent="0.2">
      <c r="F1274" s="209"/>
      <c r="G1274" s="281"/>
    </row>
    <row r="1275" spans="6:7" x14ac:dyDescent="0.2">
      <c r="F1275" s="209"/>
      <c r="G1275" s="281"/>
    </row>
    <row r="1276" spans="6:7" x14ac:dyDescent="0.2">
      <c r="F1276" s="209"/>
      <c r="G1276" s="281"/>
    </row>
    <row r="1277" spans="6:7" x14ac:dyDescent="0.2">
      <c r="F1277" s="209"/>
      <c r="G1277" s="281"/>
    </row>
    <row r="1278" spans="6:7" x14ac:dyDescent="0.2">
      <c r="F1278" s="209"/>
      <c r="G1278" s="281"/>
    </row>
    <row r="1279" spans="6:7" x14ac:dyDescent="0.2">
      <c r="F1279" s="209"/>
      <c r="G1279" s="281"/>
    </row>
    <row r="1280" spans="6:7" x14ac:dyDescent="0.2">
      <c r="F1280" s="209"/>
      <c r="G1280" s="281"/>
    </row>
    <row r="1281" spans="6:7" x14ac:dyDescent="0.2">
      <c r="F1281" s="209"/>
      <c r="G1281" s="281"/>
    </row>
    <row r="1282" spans="6:7" x14ac:dyDescent="0.2">
      <c r="F1282" s="209"/>
      <c r="G1282" s="281"/>
    </row>
    <row r="1283" spans="6:7" x14ac:dyDescent="0.2">
      <c r="F1283" s="209"/>
      <c r="G1283" s="281"/>
    </row>
    <row r="1284" spans="6:7" x14ac:dyDescent="0.2">
      <c r="F1284" s="209"/>
      <c r="G1284" s="281"/>
    </row>
    <row r="1285" spans="6:7" x14ac:dyDescent="0.2">
      <c r="F1285" s="209"/>
      <c r="G1285" s="281"/>
    </row>
    <row r="1286" spans="6:7" x14ac:dyDescent="0.2">
      <c r="F1286" s="209"/>
      <c r="G1286" s="281"/>
    </row>
    <row r="1287" spans="6:7" x14ac:dyDescent="0.2">
      <c r="F1287" s="209"/>
      <c r="G1287" s="281"/>
    </row>
    <row r="1288" spans="6:7" x14ac:dyDescent="0.2">
      <c r="F1288" s="209"/>
      <c r="G1288" s="281"/>
    </row>
    <row r="1289" spans="6:7" x14ac:dyDescent="0.2">
      <c r="F1289" s="209"/>
      <c r="G1289" s="281"/>
    </row>
    <row r="1290" spans="6:7" x14ac:dyDescent="0.2">
      <c r="F1290" s="209"/>
      <c r="G1290" s="281"/>
    </row>
    <row r="1291" spans="6:7" x14ac:dyDescent="0.2">
      <c r="F1291" s="209"/>
      <c r="G1291" s="281"/>
    </row>
    <row r="1292" spans="6:7" x14ac:dyDescent="0.2">
      <c r="F1292" s="209"/>
      <c r="G1292" s="281"/>
    </row>
    <row r="1293" spans="6:7" x14ac:dyDescent="0.2">
      <c r="F1293" s="209"/>
      <c r="G1293" s="281"/>
    </row>
    <row r="1294" spans="6:7" x14ac:dyDescent="0.2">
      <c r="F1294" s="209"/>
      <c r="G1294" s="281"/>
    </row>
    <row r="1295" spans="6:7" x14ac:dyDescent="0.2">
      <c r="F1295" s="209"/>
      <c r="G1295" s="281"/>
    </row>
    <row r="1296" spans="6:7" x14ac:dyDescent="0.2">
      <c r="F1296" s="209"/>
      <c r="G1296" s="281"/>
    </row>
    <row r="1297" spans="6:7" x14ac:dyDescent="0.2">
      <c r="F1297" s="209"/>
      <c r="G1297" s="281"/>
    </row>
    <row r="1298" spans="6:7" x14ac:dyDescent="0.2">
      <c r="F1298" s="209"/>
      <c r="G1298" s="281"/>
    </row>
    <row r="1299" spans="6:7" x14ac:dyDescent="0.2">
      <c r="F1299" s="209"/>
      <c r="G1299" s="281"/>
    </row>
    <row r="1300" spans="6:7" x14ac:dyDescent="0.2">
      <c r="F1300" s="209"/>
      <c r="G1300" s="281"/>
    </row>
    <row r="1301" spans="6:7" x14ac:dyDescent="0.2">
      <c r="F1301" s="209"/>
      <c r="G1301" s="281"/>
    </row>
    <row r="1302" spans="6:7" x14ac:dyDescent="0.2">
      <c r="F1302" s="209"/>
      <c r="G1302" s="281"/>
    </row>
    <row r="1303" spans="6:7" x14ac:dyDescent="0.2">
      <c r="F1303" s="209"/>
      <c r="G1303" s="281"/>
    </row>
    <row r="1304" spans="6:7" x14ac:dyDescent="0.2">
      <c r="F1304" s="209"/>
      <c r="G1304" s="281"/>
    </row>
    <row r="1305" spans="6:7" x14ac:dyDescent="0.2">
      <c r="F1305" s="209"/>
      <c r="G1305" s="281"/>
    </row>
    <row r="1306" spans="6:7" x14ac:dyDescent="0.2">
      <c r="F1306" s="209"/>
      <c r="G1306" s="281"/>
    </row>
    <row r="1307" spans="6:7" x14ac:dyDescent="0.2">
      <c r="F1307" s="209"/>
      <c r="G1307" s="281"/>
    </row>
    <row r="1308" spans="6:7" x14ac:dyDescent="0.2">
      <c r="F1308" s="209"/>
      <c r="G1308" s="281"/>
    </row>
    <row r="1309" spans="6:7" x14ac:dyDescent="0.2">
      <c r="F1309" s="209"/>
      <c r="G1309" s="281"/>
    </row>
    <row r="1310" spans="6:7" x14ac:dyDescent="0.2">
      <c r="F1310" s="209"/>
      <c r="G1310" s="281"/>
    </row>
    <row r="1311" spans="6:7" x14ac:dyDescent="0.2">
      <c r="F1311" s="209"/>
      <c r="G1311" s="281"/>
    </row>
    <row r="1312" spans="6:7" x14ac:dyDescent="0.2">
      <c r="F1312" s="209"/>
      <c r="G1312" s="281"/>
    </row>
    <row r="1313" spans="6:7" x14ac:dyDescent="0.2">
      <c r="F1313" s="209"/>
      <c r="G1313" s="281"/>
    </row>
    <row r="1314" spans="6:7" x14ac:dyDescent="0.2">
      <c r="F1314" s="209"/>
      <c r="G1314" s="281"/>
    </row>
    <row r="1315" spans="6:7" x14ac:dyDescent="0.2">
      <c r="F1315" s="209"/>
      <c r="G1315" s="281"/>
    </row>
    <row r="1316" spans="6:7" x14ac:dyDescent="0.2">
      <c r="F1316" s="209"/>
      <c r="G1316" s="281"/>
    </row>
    <row r="1317" spans="6:7" x14ac:dyDescent="0.2">
      <c r="F1317" s="209"/>
      <c r="G1317" s="281"/>
    </row>
    <row r="1318" spans="6:7" x14ac:dyDescent="0.2">
      <c r="F1318" s="209"/>
      <c r="G1318" s="281"/>
    </row>
    <row r="1319" spans="6:7" x14ac:dyDescent="0.2">
      <c r="F1319" s="209"/>
      <c r="G1319" s="281"/>
    </row>
    <row r="1320" spans="6:7" x14ac:dyDescent="0.2">
      <c r="F1320" s="209"/>
      <c r="G1320" s="281"/>
    </row>
    <row r="1321" spans="6:7" x14ac:dyDescent="0.2">
      <c r="F1321" s="209"/>
      <c r="G1321" s="281"/>
    </row>
    <row r="1322" spans="6:7" x14ac:dyDescent="0.2">
      <c r="F1322" s="209"/>
      <c r="G1322" s="281"/>
    </row>
    <row r="1323" spans="6:7" x14ac:dyDescent="0.2">
      <c r="F1323" s="209"/>
      <c r="G1323" s="281"/>
    </row>
    <row r="1324" spans="6:7" x14ac:dyDescent="0.2">
      <c r="F1324" s="209"/>
      <c r="G1324" s="281"/>
    </row>
    <row r="1325" spans="6:7" x14ac:dyDescent="0.2">
      <c r="F1325" s="209"/>
      <c r="G1325" s="281"/>
    </row>
    <row r="1326" spans="6:7" x14ac:dyDescent="0.2">
      <c r="F1326" s="209"/>
      <c r="G1326" s="281"/>
    </row>
    <row r="1327" spans="6:7" x14ac:dyDescent="0.2">
      <c r="F1327" s="209"/>
      <c r="G1327" s="281"/>
    </row>
    <row r="1328" spans="6:7" x14ac:dyDescent="0.2">
      <c r="F1328" s="209"/>
      <c r="G1328" s="281"/>
    </row>
    <row r="1329" spans="6:7" x14ac:dyDescent="0.2">
      <c r="F1329" s="209"/>
      <c r="G1329" s="281"/>
    </row>
    <row r="1330" spans="6:7" x14ac:dyDescent="0.2">
      <c r="F1330" s="209"/>
      <c r="G1330" s="281"/>
    </row>
    <row r="1331" spans="6:7" x14ac:dyDescent="0.2">
      <c r="F1331" s="209"/>
      <c r="G1331" s="281"/>
    </row>
    <row r="1332" spans="6:7" x14ac:dyDescent="0.2">
      <c r="F1332" s="209"/>
      <c r="G1332" s="281"/>
    </row>
    <row r="1333" spans="6:7" x14ac:dyDescent="0.2">
      <c r="F1333" s="209"/>
      <c r="G1333" s="281"/>
    </row>
    <row r="1334" spans="6:7" x14ac:dyDescent="0.2">
      <c r="F1334" s="209"/>
      <c r="G1334" s="281"/>
    </row>
    <row r="1335" spans="6:7" x14ac:dyDescent="0.2">
      <c r="F1335" s="209"/>
      <c r="G1335" s="281"/>
    </row>
    <row r="1336" spans="6:7" x14ac:dyDescent="0.2">
      <c r="F1336" s="209"/>
      <c r="G1336" s="281"/>
    </row>
    <row r="1337" spans="6:7" x14ac:dyDescent="0.2">
      <c r="F1337" s="209"/>
      <c r="G1337" s="281"/>
    </row>
    <row r="1338" spans="6:7" x14ac:dyDescent="0.2">
      <c r="F1338" s="209"/>
      <c r="G1338" s="281"/>
    </row>
    <row r="1339" spans="6:7" x14ac:dyDescent="0.2">
      <c r="F1339" s="209"/>
      <c r="G1339" s="281"/>
    </row>
    <row r="1340" spans="6:7" x14ac:dyDescent="0.2">
      <c r="F1340" s="209"/>
      <c r="G1340" s="281"/>
    </row>
    <row r="1341" spans="6:7" x14ac:dyDescent="0.2">
      <c r="F1341" s="209"/>
      <c r="G1341" s="281"/>
    </row>
    <row r="1342" spans="6:7" x14ac:dyDescent="0.2">
      <c r="F1342" s="209"/>
      <c r="G1342" s="281"/>
    </row>
    <row r="1343" spans="6:7" x14ac:dyDescent="0.2">
      <c r="F1343" s="209"/>
      <c r="G1343" s="281"/>
    </row>
    <row r="1344" spans="6:7" x14ac:dyDescent="0.2">
      <c r="F1344" s="209"/>
      <c r="G1344" s="281"/>
    </row>
    <row r="1345" spans="6:7" x14ac:dyDescent="0.2">
      <c r="F1345" s="209"/>
      <c r="G1345" s="281"/>
    </row>
    <row r="1346" spans="6:7" x14ac:dyDescent="0.2">
      <c r="F1346" s="209"/>
      <c r="G1346" s="281"/>
    </row>
    <row r="1347" spans="6:7" x14ac:dyDescent="0.2">
      <c r="F1347" s="209"/>
      <c r="G1347" s="281"/>
    </row>
    <row r="1348" spans="6:7" x14ac:dyDescent="0.2">
      <c r="F1348" s="209"/>
      <c r="G1348" s="281"/>
    </row>
    <row r="1349" spans="6:7" x14ac:dyDescent="0.2">
      <c r="F1349" s="209"/>
      <c r="G1349" s="281"/>
    </row>
    <row r="1350" spans="6:7" x14ac:dyDescent="0.2">
      <c r="F1350" s="209"/>
      <c r="G1350" s="281"/>
    </row>
    <row r="1351" spans="6:7" x14ac:dyDescent="0.2">
      <c r="F1351" s="209"/>
      <c r="G1351" s="281"/>
    </row>
    <row r="1352" spans="6:7" x14ac:dyDescent="0.2">
      <c r="F1352" s="209"/>
      <c r="G1352" s="281"/>
    </row>
    <row r="1353" spans="6:7" x14ac:dyDescent="0.2">
      <c r="F1353" s="209"/>
      <c r="G1353" s="281"/>
    </row>
    <row r="1354" spans="6:7" x14ac:dyDescent="0.2">
      <c r="F1354" s="209"/>
      <c r="G1354" s="281"/>
    </row>
    <row r="1355" spans="6:7" x14ac:dyDescent="0.2">
      <c r="F1355" s="209"/>
      <c r="G1355" s="281"/>
    </row>
    <row r="1356" spans="6:7" x14ac:dyDescent="0.2">
      <c r="F1356" s="209"/>
      <c r="G1356" s="281"/>
    </row>
    <row r="1357" spans="6:7" x14ac:dyDescent="0.2">
      <c r="F1357" s="209"/>
      <c r="G1357" s="281"/>
    </row>
    <row r="1358" spans="6:7" x14ac:dyDescent="0.2">
      <c r="F1358" s="209"/>
      <c r="G1358" s="281"/>
    </row>
    <row r="1359" spans="6:7" x14ac:dyDescent="0.2">
      <c r="F1359" s="209"/>
      <c r="G1359" s="281"/>
    </row>
    <row r="1360" spans="6:7" x14ac:dyDescent="0.2">
      <c r="F1360" s="209"/>
      <c r="G1360" s="281"/>
    </row>
    <row r="1361" spans="6:7" x14ac:dyDescent="0.2">
      <c r="F1361" s="209"/>
      <c r="G1361" s="281"/>
    </row>
    <row r="1362" spans="6:7" x14ac:dyDescent="0.2">
      <c r="F1362" s="209"/>
      <c r="G1362" s="281"/>
    </row>
    <row r="1363" spans="6:7" x14ac:dyDescent="0.2">
      <c r="F1363" s="209"/>
      <c r="G1363" s="281"/>
    </row>
    <row r="1364" spans="6:7" x14ac:dyDescent="0.2">
      <c r="F1364" s="209"/>
      <c r="G1364" s="281"/>
    </row>
    <row r="1365" spans="6:7" x14ac:dyDescent="0.2">
      <c r="F1365" s="209"/>
      <c r="G1365" s="281"/>
    </row>
    <row r="1366" spans="6:7" x14ac:dyDescent="0.2">
      <c r="F1366" s="209"/>
      <c r="G1366" s="281"/>
    </row>
    <row r="1367" spans="6:7" x14ac:dyDescent="0.2">
      <c r="F1367" s="209"/>
      <c r="G1367" s="281"/>
    </row>
    <row r="1368" spans="6:7" x14ac:dyDescent="0.2">
      <c r="F1368" s="209"/>
      <c r="G1368" s="281"/>
    </row>
    <row r="1369" spans="6:7" x14ac:dyDescent="0.2">
      <c r="F1369" s="209"/>
      <c r="G1369" s="281"/>
    </row>
    <row r="1370" spans="6:7" x14ac:dyDescent="0.2">
      <c r="F1370" s="209"/>
      <c r="G1370" s="281"/>
    </row>
    <row r="1371" spans="6:7" x14ac:dyDescent="0.2">
      <c r="F1371" s="209"/>
      <c r="G1371" s="281"/>
    </row>
    <row r="1372" spans="6:7" x14ac:dyDescent="0.2">
      <c r="F1372" s="209"/>
      <c r="G1372" s="281"/>
    </row>
    <row r="1373" spans="6:7" x14ac:dyDescent="0.2">
      <c r="F1373" s="209"/>
      <c r="G1373" s="281"/>
    </row>
    <row r="1374" spans="6:7" x14ac:dyDescent="0.2">
      <c r="F1374" s="209"/>
      <c r="G1374" s="281"/>
    </row>
    <row r="1375" spans="6:7" x14ac:dyDescent="0.2">
      <c r="F1375" s="209"/>
      <c r="G1375" s="281"/>
    </row>
    <row r="1376" spans="6:7" x14ac:dyDescent="0.2">
      <c r="F1376" s="209"/>
      <c r="G1376" s="281"/>
    </row>
    <row r="1377" spans="6:7" x14ac:dyDescent="0.2">
      <c r="F1377" s="209"/>
      <c r="G1377" s="281"/>
    </row>
    <row r="1378" spans="6:7" x14ac:dyDescent="0.2">
      <c r="F1378" s="209"/>
      <c r="G1378" s="281"/>
    </row>
    <row r="1379" spans="6:7" x14ac:dyDescent="0.2">
      <c r="F1379" s="209"/>
      <c r="G1379" s="281"/>
    </row>
    <row r="1380" spans="6:7" x14ac:dyDescent="0.2">
      <c r="F1380" s="209"/>
      <c r="G1380" s="281"/>
    </row>
    <row r="1381" spans="6:7" x14ac:dyDescent="0.2">
      <c r="F1381" s="209"/>
      <c r="G1381" s="281"/>
    </row>
    <row r="1382" spans="6:7" x14ac:dyDescent="0.2">
      <c r="F1382" s="209"/>
      <c r="G1382" s="281"/>
    </row>
    <row r="1383" spans="6:7" x14ac:dyDescent="0.2">
      <c r="F1383" s="209"/>
      <c r="G1383" s="281"/>
    </row>
    <row r="1384" spans="6:7" x14ac:dyDescent="0.2">
      <c r="F1384" s="209"/>
      <c r="G1384" s="281"/>
    </row>
    <row r="1385" spans="6:7" x14ac:dyDescent="0.2">
      <c r="F1385" s="209"/>
      <c r="G1385" s="281"/>
    </row>
    <row r="1386" spans="6:7" x14ac:dyDescent="0.2">
      <c r="F1386" s="209"/>
      <c r="G1386" s="281"/>
    </row>
    <row r="1387" spans="6:7" x14ac:dyDescent="0.2">
      <c r="F1387" s="209"/>
      <c r="G1387" s="281"/>
    </row>
    <row r="1388" spans="6:7" x14ac:dyDescent="0.2">
      <c r="F1388" s="209"/>
      <c r="G1388" s="281"/>
    </row>
    <row r="1389" spans="6:7" x14ac:dyDescent="0.2">
      <c r="F1389" s="209"/>
      <c r="G1389" s="281"/>
    </row>
    <row r="1390" spans="6:7" x14ac:dyDescent="0.2">
      <c r="F1390" s="209"/>
      <c r="G1390" s="281"/>
    </row>
    <row r="1391" spans="6:7" x14ac:dyDescent="0.2">
      <c r="F1391" s="209"/>
      <c r="G1391" s="281"/>
    </row>
    <row r="1392" spans="6:7" x14ac:dyDescent="0.2">
      <c r="F1392" s="209"/>
      <c r="G1392" s="281"/>
    </row>
    <row r="1393" spans="6:7" x14ac:dyDescent="0.2">
      <c r="F1393" s="209"/>
      <c r="G1393" s="281"/>
    </row>
    <row r="1394" spans="6:7" x14ac:dyDescent="0.2">
      <c r="F1394" s="209"/>
      <c r="G1394" s="281"/>
    </row>
    <row r="1395" spans="6:7" x14ac:dyDescent="0.2">
      <c r="F1395" s="209"/>
      <c r="G1395" s="281"/>
    </row>
    <row r="1396" spans="6:7" x14ac:dyDescent="0.2">
      <c r="F1396" s="209"/>
      <c r="G1396" s="281"/>
    </row>
    <row r="1397" spans="6:7" x14ac:dyDescent="0.2">
      <c r="F1397" s="209"/>
      <c r="G1397" s="281"/>
    </row>
    <row r="1398" spans="6:7" x14ac:dyDescent="0.2">
      <c r="F1398" s="209"/>
      <c r="G1398" s="281"/>
    </row>
    <row r="1399" spans="6:7" x14ac:dyDescent="0.2">
      <c r="F1399" s="209"/>
      <c r="G1399" s="281"/>
    </row>
    <row r="1400" spans="6:7" x14ac:dyDescent="0.2">
      <c r="F1400" s="209"/>
      <c r="G1400" s="281"/>
    </row>
    <row r="1401" spans="6:7" x14ac:dyDescent="0.2">
      <c r="F1401" s="209"/>
      <c r="G1401" s="281"/>
    </row>
    <row r="1402" spans="6:7" x14ac:dyDescent="0.2">
      <c r="F1402" s="209"/>
      <c r="G1402" s="281"/>
    </row>
    <row r="1403" spans="6:7" x14ac:dyDescent="0.2">
      <c r="F1403" s="209"/>
      <c r="G1403" s="281"/>
    </row>
    <row r="1404" spans="6:7" x14ac:dyDescent="0.2">
      <c r="F1404" s="209"/>
      <c r="G1404" s="281"/>
    </row>
    <row r="1405" spans="6:7" x14ac:dyDescent="0.2">
      <c r="F1405" s="209"/>
      <c r="G1405" s="281"/>
    </row>
    <row r="1406" spans="6:7" x14ac:dyDescent="0.2">
      <c r="F1406" s="209"/>
      <c r="G1406" s="281"/>
    </row>
    <row r="1407" spans="6:7" x14ac:dyDescent="0.2">
      <c r="F1407" s="209"/>
      <c r="G1407" s="281"/>
    </row>
    <row r="1408" spans="6:7" x14ac:dyDescent="0.2">
      <c r="F1408" s="209"/>
      <c r="G1408" s="281"/>
    </row>
    <row r="1409" spans="6:7" x14ac:dyDescent="0.2">
      <c r="F1409" s="209"/>
      <c r="G1409" s="281"/>
    </row>
    <row r="1410" spans="6:7" x14ac:dyDescent="0.2">
      <c r="F1410" s="209"/>
      <c r="G1410" s="281"/>
    </row>
    <row r="1411" spans="6:7" x14ac:dyDescent="0.2">
      <c r="F1411" s="209"/>
      <c r="G1411" s="281"/>
    </row>
    <row r="1412" spans="6:7" x14ac:dyDescent="0.2">
      <c r="F1412" s="209"/>
      <c r="G1412" s="281"/>
    </row>
    <row r="1413" spans="6:7" x14ac:dyDescent="0.2">
      <c r="F1413" s="209"/>
      <c r="G1413" s="281"/>
    </row>
    <row r="1414" spans="6:7" x14ac:dyDescent="0.2">
      <c r="F1414" s="209"/>
      <c r="G1414" s="281"/>
    </row>
    <row r="1415" spans="6:7" x14ac:dyDescent="0.2">
      <c r="F1415" s="209"/>
      <c r="G1415" s="281"/>
    </row>
    <row r="1416" spans="6:7" x14ac:dyDescent="0.2">
      <c r="F1416" s="209"/>
      <c r="G1416" s="281"/>
    </row>
    <row r="1417" spans="6:7" x14ac:dyDescent="0.2">
      <c r="F1417" s="209"/>
      <c r="G1417" s="281"/>
    </row>
    <row r="1418" spans="6:7" x14ac:dyDescent="0.2">
      <c r="F1418" s="209"/>
      <c r="G1418" s="281"/>
    </row>
    <row r="1419" spans="6:7" x14ac:dyDescent="0.2">
      <c r="F1419" s="209"/>
      <c r="G1419" s="281"/>
    </row>
    <row r="1420" spans="6:7" x14ac:dyDescent="0.2">
      <c r="F1420" s="209"/>
      <c r="G1420" s="281"/>
    </row>
    <row r="1421" spans="6:7" x14ac:dyDescent="0.2">
      <c r="F1421" s="209"/>
      <c r="G1421" s="281"/>
    </row>
    <row r="1422" spans="6:7" x14ac:dyDescent="0.2">
      <c r="F1422" s="209"/>
      <c r="G1422" s="281"/>
    </row>
    <row r="1423" spans="6:7" x14ac:dyDescent="0.2">
      <c r="F1423" s="209"/>
      <c r="G1423" s="281"/>
    </row>
    <row r="1424" spans="6:7" x14ac:dyDescent="0.2">
      <c r="F1424" s="209"/>
      <c r="G1424" s="281"/>
    </row>
    <row r="1425" spans="6:7" x14ac:dyDescent="0.2">
      <c r="F1425" s="209"/>
      <c r="G1425" s="281"/>
    </row>
    <row r="1426" spans="6:7" x14ac:dyDescent="0.2">
      <c r="F1426" s="209"/>
      <c r="G1426" s="281"/>
    </row>
    <row r="1427" spans="6:7" x14ac:dyDescent="0.2">
      <c r="F1427" s="209"/>
      <c r="G1427" s="281"/>
    </row>
    <row r="1428" spans="6:7" x14ac:dyDescent="0.2">
      <c r="F1428" s="209"/>
      <c r="G1428" s="281"/>
    </row>
    <row r="1429" spans="6:7" x14ac:dyDescent="0.2">
      <c r="F1429" s="209"/>
      <c r="G1429" s="281"/>
    </row>
    <row r="1430" spans="6:7" x14ac:dyDescent="0.2">
      <c r="F1430" s="209"/>
      <c r="G1430" s="281"/>
    </row>
    <row r="1431" spans="6:7" x14ac:dyDescent="0.2">
      <c r="F1431" s="209"/>
      <c r="G1431" s="281"/>
    </row>
    <row r="1432" spans="6:7" x14ac:dyDescent="0.2">
      <c r="F1432" s="209"/>
      <c r="G1432" s="281"/>
    </row>
    <row r="1433" spans="6:7" x14ac:dyDescent="0.2">
      <c r="F1433" s="209"/>
      <c r="G1433" s="281"/>
    </row>
    <row r="1434" spans="6:7" x14ac:dyDescent="0.2">
      <c r="F1434" s="209"/>
      <c r="G1434" s="281"/>
    </row>
    <row r="1435" spans="6:7" x14ac:dyDescent="0.2">
      <c r="F1435" s="209"/>
      <c r="G1435" s="281"/>
    </row>
    <row r="1436" spans="6:7" x14ac:dyDescent="0.2">
      <c r="F1436" s="209"/>
      <c r="G1436" s="281"/>
    </row>
    <row r="1437" spans="6:7" x14ac:dyDescent="0.2">
      <c r="F1437" s="209"/>
      <c r="G1437" s="281"/>
    </row>
    <row r="1438" spans="6:7" x14ac:dyDescent="0.2">
      <c r="F1438" s="209"/>
      <c r="G1438" s="281"/>
    </row>
    <row r="1439" spans="6:7" x14ac:dyDescent="0.2">
      <c r="F1439" s="209"/>
      <c r="G1439" s="281"/>
    </row>
    <row r="1440" spans="6:7" x14ac:dyDescent="0.2">
      <c r="F1440" s="209"/>
      <c r="G1440" s="281"/>
    </row>
    <row r="1441" spans="6:7" x14ac:dyDescent="0.2">
      <c r="F1441" s="209"/>
      <c r="G1441" s="281"/>
    </row>
    <row r="1442" spans="6:7" x14ac:dyDescent="0.2">
      <c r="F1442" s="209"/>
      <c r="G1442" s="281"/>
    </row>
    <row r="1443" spans="6:7" x14ac:dyDescent="0.2">
      <c r="F1443" s="209"/>
      <c r="G1443" s="281"/>
    </row>
    <row r="1444" spans="6:7" x14ac:dyDescent="0.2">
      <c r="F1444" s="209"/>
      <c r="G1444" s="281"/>
    </row>
    <row r="1445" spans="6:7" x14ac:dyDescent="0.2">
      <c r="F1445" s="209"/>
      <c r="G1445" s="281"/>
    </row>
    <row r="1446" spans="6:7" x14ac:dyDescent="0.2">
      <c r="F1446" s="209"/>
      <c r="G1446" s="281"/>
    </row>
    <row r="1447" spans="6:7" x14ac:dyDescent="0.2">
      <c r="F1447" s="209"/>
      <c r="G1447" s="281"/>
    </row>
    <row r="1448" spans="6:7" x14ac:dyDescent="0.2">
      <c r="F1448" s="209"/>
      <c r="G1448" s="281"/>
    </row>
    <row r="1449" spans="6:7" x14ac:dyDescent="0.2">
      <c r="F1449" s="209"/>
      <c r="G1449" s="281"/>
    </row>
    <row r="1450" spans="6:7" x14ac:dyDescent="0.2">
      <c r="F1450" s="209"/>
      <c r="G1450" s="281"/>
    </row>
    <row r="1451" spans="6:7" x14ac:dyDescent="0.2">
      <c r="F1451" s="209"/>
      <c r="G1451" s="281"/>
    </row>
    <row r="1452" spans="6:7" x14ac:dyDescent="0.2">
      <c r="F1452" s="209"/>
      <c r="G1452" s="281"/>
    </row>
    <row r="1453" spans="6:7" x14ac:dyDescent="0.2">
      <c r="F1453" s="209"/>
      <c r="G1453" s="281"/>
    </row>
    <row r="1454" spans="6:7" x14ac:dyDescent="0.2">
      <c r="F1454" s="209"/>
      <c r="G1454" s="281"/>
    </row>
    <row r="1455" spans="6:7" x14ac:dyDescent="0.2">
      <c r="F1455" s="209"/>
      <c r="G1455" s="281"/>
    </row>
    <row r="1456" spans="6:7" x14ac:dyDescent="0.2">
      <c r="F1456" s="209"/>
      <c r="G1456" s="281"/>
    </row>
    <row r="1457" spans="6:7" x14ac:dyDescent="0.2">
      <c r="F1457" s="209"/>
      <c r="G1457" s="281"/>
    </row>
    <row r="1458" spans="6:7" x14ac:dyDescent="0.2">
      <c r="F1458" s="209"/>
      <c r="G1458" s="281"/>
    </row>
    <row r="1459" spans="6:7" x14ac:dyDescent="0.2">
      <c r="F1459" s="209"/>
      <c r="G1459" s="281"/>
    </row>
    <row r="1460" spans="6:7" x14ac:dyDescent="0.2">
      <c r="F1460" s="209"/>
      <c r="G1460" s="281"/>
    </row>
    <row r="1461" spans="6:7" x14ac:dyDescent="0.2">
      <c r="F1461" s="209"/>
      <c r="G1461" s="281"/>
    </row>
    <row r="1462" spans="6:7" x14ac:dyDescent="0.2">
      <c r="F1462" s="209"/>
      <c r="G1462" s="281"/>
    </row>
    <row r="1463" spans="6:7" x14ac:dyDescent="0.2">
      <c r="F1463" s="209"/>
      <c r="G1463" s="281"/>
    </row>
    <row r="1464" spans="6:7" x14ac:dyDescent="0.2">
      <c r="F1464" s="209"/>
      <c r="G1464" s="281"/>
    </row>
    <row r="1465" spans="6:7" x14ac:dyDescent="0.2">
      <c r="F1465" s="209"/>
      <c r="G1465" s="281"/>
    </row>
    <row r="1466" spans="6:7" x14ac:dyDescent="0.2">
      <c r="F1466" s="209"/>
      <c r="G1466" s="281"/>
    </row>
    <row r="1467" spans="6:7" x14ac:dyDescent="0.2">
      <c r="F1467" s="209"/>
      <c r="G1467" s="281"/>
    </row>
    <row r="1468" spans="6:7" x14ac:dyDescent="0.2">
      <c r="F1468" s="209"/>
      <c r="G1468" s="281"/>
    </row>
    <row r="1469" spans="6:7" x14ac:dyDescent="0.2">
      <c r="F1469" s="209"/>
      <c r="G1469" s="281"/>
    </row>
    <row r="1470" spans="6:7" x14ac:dyDescent="0.2">
      <c r="F1470" s="209"/>
      <c r="G1470" s="281"/>
    </row>
    <row r="1471" spans="6:7" x14ac:dyDescent="0.2">
      <c r="F1471" s="209"/>
      <c r="G1471" s="281"/>
    </row>
    <row r="1472" spans="6:7" x14ac:dyDescent="0.2">
      <c r="F1472" s="209"/>
      <c r="G1472" s="281"/>
    </row>
    <row r="1473" spans="6:7" x14ac:dyDescent="0.2">
      <c r="F1473" s="209"/>
      <c r="G1473" s="281"/>
    </row>
    <row r="1474" spans="6:7" x14ac:dyDescent="0.2">
      <c r="F1474" s="209"/>
      <c r="G1474" s="281"/>
    </row>
    <row r="1475" spans="6:7" x14ac:dyDescent="0.2">
      <c r="F1475" s="209"/>
      <c r="G1475" s="281"/>
    </row>
    <row r="1476" spans="6:7" x14ac:dyDescent="0.2">
      <c r="F1476" s="209"/>
      <c r="G1476" s="281"/>
    </row>
    <row r="1477" spans="6:7" x14ac:dyDescent="0.2">
      <c r="F1477" s="209"/>
      <c r="G1477" s="281"/>
    </row>
    <row r="1478" spans="6:7" x14ac:dyDescent="0.2">
      <c r="F1478" s="209"/>
      <c r="G1478" s="281"/>
    </row>
    <row r="1479" spans="6:7" x14ac:dyDescent="0.2">
      <c r="F1479" s="209"/>
      <c r="G1479" s="281"/>
    </row>
    <row r="1480" spans="6:7" x14ac:dyDescent="0.2">
      <c r="F1480" s="209"/>
      <c r="G1480" s="281"/>
    </row>
    <row r="1481" spans="6:7" x14ac:dyDescent="0.2">
      <c r="F1481" s="209"/>
      <c r="G1481" s="281"/>
    </row>
    <row r="1482" spans="6:7" x14ac:dyDescent="0.2">
      <c r="F1482" s="209"/>
      <c r="G1482" s="281"/>
    </row>
    <row r="1483" spans="6:7" x14ac:dyDescent="0.2">
      <c r="F1483" s="209"/>
      <c r="G1483" s="281"/>
    </row>
    <row r="1484" spans="6:7" x14ac:dyDescent="0.2">
      <c r="F1484" s="209"/>
      <c r="G1484" s="281"/>
    </row>
    <row r="1485" spans="6:7" x14ac:dyDescent="0.2">
      <c r="F1485" s="209"/>
      <c r="G1485" s="281"/>
    </row>
    <row r="1486" spans="6:7" x14ac:dyDescent="0.2">
      <c r="F1486" s="209"/>
      <c r="G1486" s="281"/>
    </row>
    <row r="1487" spans="6:7" x14ac:dyDescent="0.2">
      <c r="F1487" s="209"/>
      <c r="G1487" s="281"/>
    </row>
    <row r="1488" spans="6:7" x14ac:dyDescent="0.2">
      <c r="F1488" s="209"/>
      <c r="G1488" s="281"/>
    </row>
    <row r="1489" spans="6:7" x14ac:dyDescent="0.2">
      <c r="F1489" s="209"/>
      <c r="G1489" s="281"/>
    </row>
    <row r="1490" spans="6:7" x14ac:dyDescent="0.2">
      <c r="F1490" s="209"/>
      <c r="G1490" s="281"/>
    </row>
    <row r="1491" spans="6:7" x14ac:dyDescent="0.2">
      <c r="F1491" s="209"/>
      <c r="G1491" s="281"/>
    </row>
    <row r="1492" spans="6:7" x14ac:dyDescent="0.2">
      <c r="F1492" s="209"/>
      <c r="G1492" s="281"/>
    </row>
    <row r="1493" spans="6:7" x14ac:dyDescent="0.2">
      <c r="F1493" s="209"/>
      <c r="G1493" s="281"/>
    </row>
    <row r="1494" spans="6:7" x14ac:dyDescent="0.2">
      <c r="F1494" s="209"/>
      <c r="G1494" s="281"/>
    </row>
    <row r="1495" spans="6:7" x14ac:dyDescent="0.2">
      <c r="F1495" s="209"/>
      <c r="G1495" s="281"/>
    </row>
    <row r="1496" spans="6:7" x14ac:dyDescent="0.2">
      <c r="F1496" s="209"/>
      <c r="G1496" s="281"/>
    </row>
    <row r="1497" spans="6:7" x14ac:dyDescent="0.2">
      <c r="F1497" s="209"/>
      <c r="G1497" s="281"/>
    </row>
    <row r="1498" spans="6:7" x14ac:dyDescent="0.2">
      <c r="F1498" s="209"/>
      <c r="G1498" s="281"/>
    </row>
    <row r="1499" spans="6:7" x14ac:dyDescent="0.2">
      <c r="F1499" s="209"/>
      <c r="G1499" s="281"/>
    </row>
    <row r="1500" spans="6:7" x14ac:dyDescent="0.2">
      <c r="F1500" s="209"/>
      <c r="G1500" s="281"/>
    </row>
    <row r="1501" spans="6:7" x14ac:dyDescent="0.2">
      <c r="F1501" s="209"/>
      <c r="G1501" s="281"/>
    </row>
    <row r="1502" spans="6:7" x14ac:dyDescent="0.2">
      <c r="F1502" s="209"/>
      <c r="G1502" s="281"/>
    </row>
    <row r="1503" spans="6:7" x14ac:dyDescent="0.2">
      <c r="F1503" s="209"/>
      <c r="G1503" s="281"/>
    </row>
    <row r="1504" spans="6:7" x14ac:dyDescent="0.2">
      <c r="F1504" s="209"/>
      <c r="G1504" s="281"/>
    </row>
    <row r="1505" spans="6:7" x14ac:dyDescent="0.2">
      <c r="F1505" s="209"/>
      <c r="G1505" s="281"/>
    </row>
    <row r="1506" spans="6:7" x14ac:dyDescent="0.2">
      <c r="F1506" s="209"/>
      <c r="G1506" s="281"/>
    </row>
    <row r="1507" spans="6:7" x14ac:dyDescent="0.2">
      <c r="F1507" s="209"/>
      <c r="G1507" s="281"/>
    </row>
    <row r="1508" spans="6:7" x14ac:dyDescent="0.2">
      <c r="F1508" s="209"/>
      <c r="G1508" s="281"/>
    </row>
    <row r="1509" spans="6:7" x14ac:dyDescent="0.2">
      <c r="F1509" s="209"/>
      <c r="G1509" s="281"/>
    </row>
    <row r="1510" spans="6:7" x14ac:dyDescent="0.2">
      <c r="F1510" s="209"/>
      <c r="G1510" s="281"/>
    </row>
    <row r="1511" spans="6:7" x14ac:dyDescent="0.2">
      <c r="F1511" s="209"/>
      <c r="G1511" s="281"/>
    </row>
    <row r="1512" spans="6:7" x14ac:dyDescent="0.2">
      <c r="F1512" s="209"/>
      <c r="G1512" s="281"/>
    </row>
    <row r="1513" spans="6:7" x14ac:dyDescent="0.2">
      <c r="F1513" s="209"/>
      <c r="G1513" s="281"/>
    </row>
    <row r="1514" spans="6:7" x14ac:dyDescent="0.2">
      <c r="F1514" s="209"/>
      <c r="G1514" s="281"/>
    </row>
    <row r="1515" spans="6:7" x14ac:dyDescent="0.2">
      <c r="F1515" s="209"/>
      <c r="G1515" s="281"/>
    </row>
    <row r="1516" spans="6:7" x14ac:dyDescent="0.2">
      <c r="F1516" s="209"/>
      <c r="G1516" s="281"/>
    </row>
    <row r="1517" spans="6:7" x14ac:dyDescent="0.2">
      <c r="F1517" s="209"/>
      <c r="G1517" s="281"/>
    </row>
    <row r="1518" spans="6:7" x14ac:dyDescent="0.2">
      <c r="F1518" s="209"/>
      <c r="G1518" s="281"/>
    </row>
    <row r="1519" spans="6:7" x14ac:dyDescent="0.2">
      <c r="F1519" s="209"/>
      <c r="G1519" s="281"/>
    </row>
    <row r="1520" spans="6:7" x14ac:dyDescent="0.2">
      <c r="F1520" s="209"/>
      <c r="G1520" s="281"/>
    </row>
    <row r="1521" spans="6:7" x14ac:dyDescent="0.2">
      <c r="F1521" s="209"/>
      <c r="G1521" s="281"/>
    </row>
    <row r="1522" spans="6:7" x14ac:dyDescent="0.2">
      <c r="F1522" s="209"/>
      <c r="G1522" s="281"/>
    </row>
    <row r="1523" spans="6:7" x14ac:dyDescent="0.2">
      <c r="F1523" s="209"/>
      <c r="G1523" s="281"/>
    </row>
    <row r="1524" spans="6:7" x14ac:dyDescent="0.2">
      <c r="F1524" s="209"/>
      <c r="G1524" s="281"/>
    </row>
    <row r="1525" spans="6:7" x14ac:dyDescent="0.2">
      <c r="F1525" s="209"/>
      <c r="G1525" s="281"/>
    </row>
    <row r="1526" spans="6:7" x14ac:dyDescent="0.2">
      <c r="F1526" s="209"/>
      <c r="G1526" s="281"/>
    </row>
    <row r="1527" spans="6:7" x14ac:dyDescent="0.2">
      <c r="F1527" s="209"/>
      <c r="G1527" s="281"/>
    </row>
    <row r="1528" spans="6:7" x14ac:dyDescent="0.2">
      <c r="F1528" s="209"/>
      <c r="G1528" s="281"/>
    </row>
    <row r="1529" spans="6:7" x14ac:dyDescent="0.2">
      <c r="F1529" s="209"/>
      <c r="G1529" s="281"/>
    </row>
    <row r="1530" spans="6:7" x14ac:dyDescent="0.2">
      <c r="F1530" s="209"/>
      <c r="G1530" s="281"/>
    </row>
    <row r="1531" spans="6:7" x14ac:dyDescent="0.2">
      <c r="F1531" s="209"/>
      <c r="G1531" s="281"/>
    </row>
    <row r="1532" spans="6:7" x14ac:dyDescent="0.2">
      <c r="F1532" s="209"/>
      <c r="G1532" s="281"/>
    </row>
    <row r="1533" spans="6:7" x14ac:dyDescent="0.2">
      <c r="F1533" s="209"/>
      <c r="G1533" s="281"/>
    </row>
    <row r="1534" spans="6:7" x14ac:dyDescent="0.2">
      <c r="F1534" s="209"/>
      <c r="G1534" s="281"/>
    </row>
    <row r="1535" spans="6:7" x14ac:dyDescent="0.2">
      <c r="F1535" s="209"/>
      <c r="G1535" s="281"/>
    </row>
    <row r="1536" spans="6:7" x14ac:dyDescent="0.2">
      <c r="F1536" s="209"/>
      <c r="G1536" s="281"/>
    </row>
    <row r="1537" spans="6:7" x14ac:dyDescent="0.2">
      <c r="F1537" s="209"/>
      <c r="G1537" s="281"/>
    </row>
    <row r="1538" spans="6:7" x14ac:dyDescent="0.2">
      <c r="F1538" s="209"/>
      <c r="G1538" s="281"/>
    </row>
    <row r="1539" spans="6:7" x14ac:dyDescent="0.2">
      <c r="F1539" s="209"/>
      <c r="G1539" s="281"/>
    </row>
    <row r="1540" spans="6:7" x14ac:dyDescent="0.2">
      <c r="F1540" s="209"/>
      <c r="G1540" s="281"/>
    </row>
    <row r="1541" spans="6:7" x14ac:dyDescent="0.2">
      <c r="F1541" s="209"/>
      <c r="G1541" s="281"/>
    </row>
    <row r="1542" spans="6:7" x14ac:dyDescent="0.2">
      <c r="F1542" s="209"/>
      <c r="G1542" s="281"/>
    </row>
    <row r="1543" spans="6:7" x14ac:dyDescent="0.2">
      <c r="F1543" s="209"/>
      <c r="G1543" s="281"/>
    </row>
    <row r="1544" spans="6:7" x14ac:dyDescent="0.2">
      <c r="F1544" s="209"/>
      <c r="G1544" s="281"/>
    </row>
    <row r="1545" spans="6:7" x14ac:dyDescent="0.2">
      <c r="F1545" s="209"/>
      <c r="G1545" s="281"/>
    </row>
    <row r="1546" spans="6:7" x14ac:dyDescent="0.2">
      <c r="F1546" s="209"/>
      <c r="G1546" s="281"/>
    </row>
    <row r="1547" spans="6:7" x14ac:dyDescent="0.2">
      <c r="F1547" s="209"/>
      <c r="G1547" s="281"/>
    </row>
    <row r="1548" spans="6:7" x14ac:dyDescent="0.2">
      <c r="F1548" s="209"/>
      <c r="G1548" s="281"/>
    </row>
    <row r="1549" spans="6:7" x14ac:dyDescent="0.2">
      <c r="F1549" s="209"/>
      <c r="G1549" s="281"/>
    </row>
    <row r="1550" spans="6:7" x14ac:dyDescent="0.2">
      <c r="F1550" s="209"/>
      <c r="G1550" s="281"/>
    </row>
    <row r="1551" spans="6:7" x14ac:dyDescent="0.2">
      <c r="F1551" s="209"/>
      <c r="G1551" s="281"/>
    </row>
    <row r="1552" spans="6:7" x14ac:dyDescent="0.2">
      <c r="F1552" s="209"/>
      <c r="G1552" s="281"/>
    </row>
    <row r="1553" spans="6:7" x14ac:dyDescent="0.2">
      <c r="F1553" s="209"/>
      <c r="G1553" s="281"/>
    </row>
    <row r="1554" spans="6:7" x14ac:dyDescent="0.2">
      <c r="F1554" s="209"/>
      <c r="G1554" s="281"/>
    </row>
    <row r="1555" spans="6:7" x14ac:dyDescent="0.2">
      <c r="F1555" s="209"/>
      <c r="G1555" s="281"/>
    </row>
    <row r="1556" spans="6:7" x14ac:dyDescent="0.2">
      <c r="F1556" s="209"/>
      <c r="G1556" s="281"/>
    </row>
    <row r="1557" spans="6:7" x14ac:dyDescent="0.2">
      <c r="F1557" s="209"/>
      <c r="G1557" s="281"/>
    </row>
    <row r="1558" spans="6:7" x14ac:dyDescent="0.2">
      <c r="F1558" s="209"/>
      <c r="G1558" s="281"/>
    </row>
    <row r="1559" spans="6:7" x14ac:dyDescent="0.2">
      <c r="F1559" s="209"/>
      <c r="G1559" s="281"/>
    </row>
    <row r="1560" spans="6:7" x14ac:dyDescent="0.2">
      <c r="F1560" s="209"/>
      <c r="G1560" s="281"/>
    </row>
    <row r="1561" spans="6:7" x14ac:dyDescent="0.2">
      <c r="F1561" s="209"/>
      <c r="G1561" s="281"/>
    </row>
    <row r="1562" spans="6:7" x14ac:dyDescent="0.2">
      <c r="F1562" s="209"/>
      <c r="G1562" s="281"/>
    </row>
    <row r="1563" spans="6:7" x14ac:dyDescent="0.2">
      <c r="F1563" s="209"/>
      <c r="G1563" s="281"/>
    </row>
    <row r="1564" spans="6:7" x14ac:dyDescent="0.2">
      <c r="F1564" s="209"/>
      <c r="G1564" s="281"/>
    </row>
    <row r="1565" spans="6:7" x14ac:dyDescent="0.2">
      <c r="F1565" s="209"/>
      <c r="G1565" s="281"/>
    </row>
    <row r="1566" spans="6:7" x14ac:dyDescent="0.2">
      <c r="F1566" s="209"/>
      <c r="G1566" s="281"/>
    </row>
    <row r="1567" spans="6:7" x14ac:dyDescent="0.2">
      <c r="F1567" s="209"/>
      <c r="G1567" s="281"/>
    </row>
    <row r="1568" spans="6:7" x14ac:dyDescent="0.2">
      <c r="F1568" s="209"/>
      <c r="G1568" s="281"/>
    </row>
    <row r="1569" spans="6:7" x14ac:dyDescent="0.2">
      <c r="F1569" s="209"/>
      <c r="G1569" s="281"/>
    </row>
    <row r="1570" spans="6:7" x14ac:dyDescent="0.2">
      <c r="F1570" s="209"/>
      <c r="G1570" s="281"/>
    </row>
    <row r="1571" spans="6:7" x14ac:dyDescent="0.2">
      <c r="F1571" s="209"/>
      <c r="G1571" s="281"/>
    </row>
    <row r="1572" spans="6:7" x14ac:dyDescent="0.2">
      <c r="F1572" s="209"/>
      <c r="G1572" s="281"/>
    </row>
    <row r="1573" spans="6:7" x14ac:dyDescent="0.2">
      <c r="F1573" s="209"/>
      <c r="G1573" s="281"/>
    </row>
    <row r="1574" spans="6:7" x14ac:dyDescent="0.2">
      <c r="F1574" s="209"/>
      <c r="G1574" s="281"/>
    </row>
    <row r="1575" spans="6:7" x14ac:dyDescent="0.2">
      <c r="F1575" s="209"/>
      <c r="G1575" s="281"/>
    </row>
    <row r="1576" spans="6:7" x14ac:dyDescent="0.2">
      <c r="F1576" s="209"/>
      <c r="G1576" s="281"/>
    </row>
    <row r="1577" spans="6:7" x14ac:dyDescent="0.2">
      <c r="F1577" s="209"/>
      <c r="G1577" s="281"/>
    </row>
    <row r="1578" spans="6:7" x14ac:dyDescent="0.2">
      <c r="F1578" s="209"/>
      <c r="G1578" s="281"/>
    </row>
    <row r="1579" spans="6:7" x14ac:dyDescent="0.2">
      <c r="F1579" s="209"/>
      <c r="G1579" s="281"/>
    </row>
    <row r="1580" spans="6:7" x14ac:dyDescent="0.2">
      <c r="F1580" s="209"/>
      <c r="G1580" s="281"/>
    </row>
    <row r="1581" spans="6:7" x14ac:dyDescent="0.2">
      <c r="F1581" s="209"/>
      <c r="G1581" s="281"/>
    </row>
    <row r="1582" spans="6:7" x14ac:dyDescent="0.2">
      <c r="F1582" s="209"/>
      <c r="G1582" s="281"/>
    </row>
    <row r="1583" spans="6:7" x14ac:dyDescent="0.2">
      <c r="F1583" s="209"/>
      <c r="G1583" s="281"/>
    </row>
    <row r="1584" spans="6:7" x14ac:dyDescent="0.2">
      <c r="F1584" s="209"/>
      <c r="G1584" s="281"/>
    </row>
    <row r="1585" spans="6:7" x14ac:dyDescent="0.2">
      <c r="F1585" s="209"/>
      <c r="G1585" s="281"/>
    </row>
    <row r="1586" spans="6:7" x14ac:dyDescent="0.2">
      <c r="F1586" s="209"/>
      <c r="G1586" s="281"/>
    </row>
    <row r="1587" spans="6:7" x14ac:dyDescent="0.2">
      <c r="F1587" s="209"/>
      <c r="G1587" s="281"/>
    </row>
    <row r="1588" spans="6:7" x14ac:dyDescent="0.2">
      <c r="F1588" s="209"/>
      <c r="G1588" s="281"/>
    </row>
    <row r="1589" spans="6:7" x14ac:dyDescent="0.2">
      <c r="F1589" s="209"/>
      <c r="G1589" s="281"/>
    </row>
    <row r="1590" spans="6:7" x14ac:dyDescent="0.2">
      <c r="F1590" s="209"/>
      <c r="G1590" s="281"/>
    </row>
    <row r="1591" spans="6:7" x14ac:dyDescent="0.2">
      <c r="F1591" s="209"/>
      <c r="G1591" s="281"/>
    </row>
    <row r="1592" spans="6:7" x14ac:dyDescent="0.2">
      <c r="F1592" s="209"/>
      <c r="G1592" s="281"/>
    </row>
    <row r="1593" spans="6:7" x14ac:dyDescent="0.2">
      <c r="F1593" s="209"/>
      <c r="G1593" s="281"/>
    </row>
    <row r="1594" spans="6:7" x14ac:dyDescent="0.2">
      <c r="F1594" s="209"/>
      <c r="G1594" s="281"/>
    </row>
    <row r="1595" spans="6:7" x14ac:dyDescent="0.2">
      <c r="F1595" s="209"/>
      <c r="G1595" s="281"/>
    </row>
    <row r="1596" spans="6:7" x14ac:dyDescent="0.2">
      <c r="F1596" s="209"/>
      <c r="G1596" s="281"/>
    </row>
    <row r="1597" spans="6:7" x14ac:dyDescent="0.2">
      <c r="F1597" s="209"/>
      <c r="G1597" s="281"/>
    </row>
    <row r="1598" spans="6:7" x14ac:dyDescent="0.2">
      <c r="F1598" s="209"/>
      <c r="G1598" s="281"/>
    </row>
    <row r="1599" spans="6:7" x14ac:dyDescent="0.2">
      <c r="F1599" s="209"/>
      <c r="G1599" s="281"/>
    </row>
    <row r="1600" spans="6:7" x14ac:dyDescent="0.2">
      <c r="F1600" s="209"/>
      <c r="G1600" s="281"/>
    </row>
    <row r="1601" spans="6:7" x14ac:dyDescent="0.2">
      <c r="F1601" s="209"/>
      <c r="G1601" s="281"/>
    </row>
    <row r="1602" spans="6:7" x14ac:dyDescent="0.2">
      <c r="F1602" s="209"/>
      <c r="G1602" s="281"/>
    </row>
    <row r="1603" spans="6:7" x14ac:dyDescent="0.2">
      <c r="F1603" s="209"/>
      <c r="G1603" s="281"/>
    </row>
    <row r="1604" spans="6:7" x14ac:dyDescent="0.2">
      <c r="F1604" s="209"/>
      <c r="G1604" s="281"/>
    </row>
    <row r="1605" spans="6:7" x14ac:dyDescent="0.2">
      <c r="F1605" s="209"/>
      <c r="G1605" s="281"/>
    </row>
    <row r="1606" spans="6:7" x14ac:dyDescent="0.2">
      <c r="F1606" s="209"/>
      <c r="G1606" s="281"/>
    </row>
    <row r="1607" spans="6:7" x14ac:dyDescent="0.2">
      <c r="F1607" s="209"/>
      <c r="G1607" s="281"/>
    </row>
    <row r="1608" spans="6:7" x14ac:dyDescent="0.2">
      <c r="F1608" s="209"/>
      <c r="G1608" s="281"/>
    </row>
    <row r="1609" spans="6:7" x14ac:dyDescent="0.2">
      <c r="F1609" s="209"/>
      <c r="G1609" s="281"/>
    </row>
    <row r="1610" spans="6:7" x14ac:dyDescent="0.2">
      <c r="F1610" s="209"/>
      <c r="G1610" s="281"/>
    </row>
    <row r="1611" spans="6:7" x14ac:dyDescent="0.2">
      <c r="F1611" s="209"/>
      <c r="G1611" s="281"/>
    </row>
    <row r="1612" spans="6:7" x14ac:dyDescent="0.2">
      <c r="F1612" s="209"/>
      <c r="G1612" s="281"/>
    </row>
    <row r="1613" spans="6:7" x14ac:dyDescent="0.2">
      <c r="F1613" s="209"/>
      <c r="G1613" s="281"/>
    </row>
    <row r="1614" spans="6:7" x14ac:dyDescent="0.2">
      <c r="F1614" s="209"/>
      <c r="G1614" s="281"/>
    </row>
    <row r="1615" spans="6:7" x14ac:dyDescent="0.2">
      <c r="F1615" s="209"/>
      <c r="G1615" s="281"/>
    </row>
    <row r="1616" spans="6:7" x14ac:dyDescent="0.2">
      <c r="F1616" s="209"/>
      <c r="G1616" s="281"/>
    </row>
    <row r="1617" spans="6:7" x14ac:dyDescent="0.2">
      <c r="F1617" s="209"/>
      <c r="G1617" s="281"/>
    </row>
    <row r="1618" spans="6:7" x14ac:dyDescent="0.2">
      <c r="F1618" s="209"/>
      <c r="G1618" s="281"/>
    </row>
    <row r="1619" spans="6:7" x14ac:dyDescent="0.2">
      <c r="F1619" s="209"/>
      <c r="G1619" s="281"/>
    </row>
    <row r="1620" spans="6:7" x14ac:dyDescent="0.2">
      <c r="F1620" s="209"/>
      <c r="G1620" s="281"/>
    </row>
    <row r="1621" spans="6:7" x14ac:dyDescent="0.2">
      <c r="F1621" s="209"/>
      <c r="G1621" s="281"/>
    </row>
    <row r="1622" spans="6:7" x14ac:dyDescent="0.2">
      <c r="F1622" s="209"/>
      <c r="G1622" s="281"/>
    </row>
    <row r="1623" spans="6:7" x14ac:dyDescent="0.2">
      <c r="F1623" s="209"/>
      <c r="G1623" s="281"/>
    </row>
    <row r="1624" spans="6:7" x14ac:dyDescent="0.2">
      <c r="F1624" s="209"/>
      <c r="G1624" s="281"/>
    </row>
    <row r="1625" spans="6:7" x14ac:dyDescent="0.2">
      <c r="F1625" s="209"/>
      <c r="G1625" s="281"/>
    </row>
    <row r="1626" spans="6:7" x14ac:dyDescent="0.2">
      <c r="F1626" s="209"/>
      <c r="G1626" s="281"/>
    </row>
    <row r="1627" spans="6:7" x14ac:dyDescent="0.2">
      <c r="F1627" s="209"/>
      <c r="G1627" s="281"/>
    </row>
    <row r="1628" spans="6:7" x14ac:dyDescent="0.2">
      <c r="F1628" s="209"/>
      <c r="G1628" s="281"/>
    </row>
    <row r="1629" spans="6:7" x14ac:dyDescent="0.2">
      <c r="F1629" s="209"/>
      <c r="G1629" s="281"/>
    </row>
    <row r="1630" spans="6:7" x14ac:dyDescent="0.2">
      <c r="F1630" s="209"/>
      <c r="G1630" s="281"/>
    </row>
    <row r="1631" spans="6:7" x14ac:dyDescent="0.2">
      <c r="F1631" s="209"/>
      <c r="G1631" s="281"/>
    </row>
    <row r="1632" spans="6:7" x14ac:dyDescent="0.2">
      <c r="F1632" s="209"/>
      <c r="G1632" s="281"/>
    </row>
    <row r="1633" spans="6:7" x14ac:dyDescent="0.2">
      <c r="F1633" s="209"/>
      <c r="G1633" s="281"/>
    </row>
    <row r="1634" spans="6:7" x14ac:dyDescent="0.2">
      <c r="F1634" s="209"/>
      <c r="G1634" s="281"/>
    </row>
    <row r="1635" spans="6:7" x14ac:dyDescent="0.2">
      <c r="F1635" s="209"/>
      <c r="G1635" s="281"/>
    </row>
    <row r="1636" spans="6:7" x14ac:dyDescent="0.2">
      <c r="F1636" s="209"/>
      <c r="G1636" s="281"/>
    </row>
    <row r="1637" spans="6:7" x14ac:dyDescent="0.2">
      <c r="F1637" s="209"/>
      <c r="G1637" s="281"/>
    </row>
    <row r="1638" spans="6:7" x14ac:dyDescent="0.2">
      <c r="F1638" s="209"/>
      <c r="G1638" s="281"/>
    </row>
    <row r="1639" spans="6:7" x14ac:dyDescent="0.2">
      <c r="F1639" s="209"/>
      <c r="G1639" s="281"/>
    </row>
    <row r="1640" spans="6:7" x14ac:dyDescent="0.2">
      <c r="F1640" s="209"/>
      <c r="G1640" s="281"/>
    </row>
    <row r="1641" spans="6:7" x14ac:dyDescent="0.2">
      <c r="F1641" s="209"/>
      <c r="G1641" s="281"/>
    </row>
    <row r="1642" spans="6:7" x14ac:dyDescent="0.2">
      <c r="F1642" s="209"/>
      <c r="G1642" s="281"/>
    </row>
    <row r="1643" spans="6:7" x14ac:dyDescent="0.2">
      <c r="F1643" s="209"/>
      <c r="G1643" s="281"/>
    </row>
    <row r="1644" spans="6:7" x14ac:dyDescent="0.2">
      <c r="F1644" s="209"/>
      <c r="G1644" s="281"/>
    </row>
    <row r="1645" spans="6:7" x14ac:dyDescent="0.2">
      <c r="F1645" s="209"/>
      <c r="G1645" s="281"/>
    </row>
    <row r="1646" spans="6:7" x14ac:dyDescent="0.2">
      <c r="F1646" s="209"/>
      <c r="G1646" s="281"/>
    </row>
    <row r="1647" spans="6:7" x14ac:dyDescent="0.2">
      <c r="F1647" s="209"/>
      <c r="G1647" s="281"/>
    </row>
    <row r="1648" spans="6:7" x14ac:dyDescent="0.2">
      <c r="F1648" s="209"/>
      <c r="G1648" s="281"/>
    </row>
    <row r="1649" spans="6:7" x14ac:dyDescent="0.2">
      <c r="F1649" s="209"/>
      <c r="G1649" s="281"/>
    </row>
  </sheetData>
  <sheetProtection password="C4B9" sheet="1" objects="1" scenarios="1"/>
  <sortState ref="A172:BO190">
    <sortCondition ref="A190"/>
  </sortState>
  <customSheetViews>
    <customSheetView guid="{B8E02330-2419-4DE6-AD01-7ACC7A5D18DD}" scale="75" topLeftCell="A245">
      <selection activeCell="A2" sqref="A2:H260"/>
      <pageMargins left="0.75" right="0.75" top="1" bottom="1" header="0.5" footer="0.5"/>
      <pageSetup orientation="portrait" r:id="rId1"/>
      <headerFooter alignWithMargins="0"/>
    </customSheetView>
  </customSheetViews>
  <mergeCells count="82">
    <mergeCell ref="B115:B121"/>
    <mergeCell ref="A18:A24"/>
    <mergeCell ref="B60:B66"/>
    <mergeCell ref="H18:H24"/>
    <mergeCell ref="H115:H121"/>
    <mergeCell ref="A100:A103"/>
    <mergeCell ref="A104:A108"/>
    <mergeCell ref="A85:A88"/>
    <mergeCell ref="A48:A53"/>
    <mergeCell ref="A41:A43"/>
    <mergeCell ref="B96:B99"/>
    <mergeCell ref="A25:A33"/>
    <mergeCell ref="A96:A99"/>
    <mergeCell ref="A74:A80"/>
    <mergeCell ref="A34:A40"/>
    <mergeCell ref="A44:A47"/>
    <mergeCell ref="H128:H129"/>
    <mergeCell ref="I128:I129"/>
    <mergeCell ref="A128:A129"/>
    <mergeCell ref="B128:B129"/>
    <mergeCell ref="I81:I84"/>
    <mergeCell ref="A81:A84"/>
    <mergeCell ref="I100:I103"/>
    <mergeCell ref="I104:I108"/>
    <mergeCell ref="A90:A95"/>
    <mergeCell ref="B90:B95"/>
    <mergeCell ref="A122:A126"/>
    <mergeCell ref="I115:I121"/>
    <mergeCell ref="A109:A114"/>
    <mergeCell ref="B109:B114"/>
    <mergeCell ref="H109:H114"/>
    <mergeCell ref="A115:A121"/>
    <mergeCell ref="I122:I126"/>
    <mergeCell ref="B122:B126"/>
    <mergeCell ref="E1:I1"/>
    <mergeCell ref="A1:B1"/>
    <mergeCell ref="I74:I80"/>
    <mergeCell ref="I85:I88"/>
    <mergeCell ref="I54:I59"/>
    <mergeCell ref="H54:H59"/>
    <mergeCell ref="H48:H53"/>
    <mergeCell ref="A60:A66"/>
    <mergeCell ref="B48:B53"/>
    <mergeCell ref="A67:A73"/>
    <mergeCell ref="A54:A59"/>
    <mergeCell ref="B54:B59"/>
    <mergeCell ref="H122:H126"/>
    <mergeCell ref="I18:I24"/>
    <mergeCell ref="I96:I99"/>
    <mergeCell ref="I67:I73"/>
    <mergeCell ref="I34:I40"/>
    <mergeCell ref="I60:I66"/>
    <mergeCell ref="H74:H80"/>
    <mergeCell ref="H81:H84"/>
    <mergeCell ref="I90:I95"/>
    <mergeCell ref="H67:H73"/>
    <mergeCell ref="H104:H108"/>
    <mergeCell ref="H100:H103"/>
    <mergeCell ref="H96:H99"/>
    <mergeCell ref="H60:H66"/>
    <mergeCell ref="H85:H88"/>
    <mergeCell ref="I25:I33"/>
    <mergeCell ref="I41:I43"/>
    <mergeCell ref="H41:H43"/>
    <mergeCell ref="I44:I47"/>
    <mergeCell ref="H44:H47"/>
    <mergeCell ref="I109:I114"/>
    <mergeCell ref="B18:B24"/>
    <mergeCell ref="B100:B103"/>
    <mergeCell ref="B74:B80"/>
    <mergeCell ref="H34:H40"/>
    <mergeCell ref="H25:H33"/>
    <mergeCell ref="B67:B73"/>
    <mergeCell ref="B85:B88"/>
    <mergeCell ref="B34:B40"/>
    <mergeCell ref="B41:B43"/>
    <mergeCell ref="B44:B47"/>
    <mergeCell ref="H90:H95"/>
    <mergeCell ref="B104:B108"/>
    <mergeCell ref="I48:I53"/>
    <mergeCell ref="B25:B33"/>
    <mergeCell ref="B81:B84"/>
  </mergeCells>
  <phoneticPr fontId="12" type="noConversion"/>
  <conditionalFormatting sqref="D142:D143 D146:D148 D136:D140 D130:D131 D133:D134 D115:D120 D122 D102:D104 D69:D79 D98:D100 D81 D43:D46 D67 D49 D51:D54 D83:D87 D96 D25:D34 D89:D94 D39:D41 D56:D65 D106:D112 D124:D127">
    <cfRule type="cellIs" dxfId="4" priority="1" operator="greaterThan">
      <formula>0</formula>
    </cfRule>
  </conditionalFormatting>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00"/>
  </sheetPr>
  <dimension ref="A1:CP335"/>
  <sheetViews>
    <sheetView zoomScaleNormal="100" workbookViewId="0">
      <selection activeCell="G11" sqref="G11"/>
    </sheetView>
  </sheetViews>
  <sheetFormatPr defaultColWidth="9.33203125" defaultRowHeight="15" customHeight="1" x14ac:dyDescent="0.2"/>
  <cols>
    <col min="1" max="1" width="5.5" style="39" customWidth="1"/>
    <col min="2" max="2" width="18.83203125" style="39" customWidth="1"/>
    <col min="3" max="3" width="95.83203125" style="19" customWidth="1"/>
    <col min="4" max="4" width="8.6640625" style="58" customWidth="1"/>
    <col min="5" max="5" width="66" style="58" customWidth="1"/>
    <col min="6" max="6" width="10" style="58" customWidth="1"/>
    <col min="7" max="7" width="10.83203125" style="58" customWidth="1"/>
    <col min="8" max="8" width="9.1640625" style="58" customWidth="1"/>
    <col min="9" max="9" width="10" style="58" customWidth="1"/>
    <col min="10" max="10" width="9.83203125" style="58" customWidth="1"/>
    <col min="11" max="11" width="10.5" style="58" customWidth="1"/>
    <col min="12" max="12" width="10.6640625" style="58" customWidth="1"/>
    <col min="13" max="13" width="9.83203125" style="58" customWidth="1"/>
    <col min="14" max="17" width="9.6640625" style="58" customWidth="1"/>
    <col min="18" max="18" width="10.83203125" style="58" customWidth="1"/>
    <col min="19" max="19" width="9.1640625" style="58" customWidth="1"/>
    <col min="20" max="20" width="10" style="58" customWidth="1"/>
    <col min="21" max="21" width="9.83203125" style="58" customWidth="1"/>
    <col min="22" max="22" width="10.5" style="58" customWidth="1"/>
    <col min="23" max="23" width="10.6640625" style="58" customWidth="1"/>
    <col min="24" max="24" width="9.83203125" style="58" customWidth="1"/>
    <col min="25" max="28" width="9.6640625" style="58" customWidth="1"/>
    <col min="29" max="29" width="10.83203125" style="58" customWidth="1"/>
    <col min="30" max="30" width="9.1640625" style="58" customWidth="1"/>
    <col min="31" max="31" width="10" style="58" customWidth="1"/>
    <col min="32" max="32" width="9.83203125" style="58" customWidth="1"/>
    <col min="33" max="33" width="10.5" style="58" customWidth="1"/>
    <col min="34" max="34" width="10.6640625" style="58" customWidth="1"/>
    <col min="35" max="35" width="9.83203125" style="58" customWidth="1"/>
    <col min="36" max="39" width="9.6640625" style="58" customWidth="1"/>
    <col min="40" max="40" width="10.83203125" style="58" customWidth="1"/>
    <col min="41" max="41" width="9.1640625" style="58" customWidth="1"/>
    <col min="42" max="42" width="10" style="58" customWidth="1"/>
    <col min="43" max="43" width="9.83203125" style="58" customWidth="1"/>
    <col min="44" max="44" width="10.5" style="58" customWidth="1"/>
    <col min="45" max="45" width="10.6640625" style="58" customWidth="1"/>
    <col min="46" max="46" width="9.83203125" style="58" customWidth="1"/>
    <col min="47" max="50" width="9.6640625" style="58" customWidth="1"/>
    <col min="51" max="51" width="10.83203125" style="58" customWidth="1"/>
    <col min="52" max="52" width="9.1640625" style="58" customWidth="1"/>
    <col min="53" max="53" width="10" style="58" customWidth="1"/>
    <col min="54" max="54" width="9.83203125" style="58" customWidth="1"/>
    <col min="55" max="55" width="10.5" style="58" customWidth="1"/>
    <col min="56" max="56" width="10.6640625" style="58" customWidth="1"/>
    <col min="57" max="57" width="9.83203125" style="58" customWidth="1"/>
    <col min="58" max="61" width="9.6640625" style="58" customWidth="1"/>
    <col min="62" max="62" width="10.83203125" style="58" customWidth="1"/>
    <col min="63" max="63" width="9.1640625" style="58" customWidth="1"/>
    <col min="64" max="64" width="10" style="58" customWidth="1"/>
    <col min="65" max="65" width="9.83203125" style="58" customWidth="1"/>
    <col min="66" max="66" width="10.5" style="58" customWidth="1"/>
    <col min="67" max="67" width="10.6640625" style="58" customWidth="1"/>
    <col min="68" max="68" width="9.83203125" style="58" customWidth="1"/>
    <col min="69" max="72" width="9.6640625" style="58" customWidth="1"/>
    <col min="73" max="73" width="10.83203125" style="58" customWidth="1"/>
    <col min="74" max="74" width="9.1640625" style="58" customWidth="1"/>
    <col min="75" max="75" width="10" style="58" customWidth="1"/>
    <col min="76" max="76" width="9.83203125" style="58" customWidth="1"/>
    <col min="77" max="77" width="10.5" style="58" customWidth="1"/>
    <col min="78" max="78" width="10.6640625" style="58" customWidth="1"/>
    <col min="79" max="79" width="9.83203125" style="58" customWidth="1"/>
    <col min="80" max="83" width="9.6640625" style="58" customWidth="1"/>
    <col min="84" max="84" width="10.83203125" style="58" customWidth="1"/>
    <col min="85" max="85" width="9.1640625" style="58" customWidth="1"/>
    <col min="86" max="86" width="10" style="58" customWidth="1"/>
    <col min="87" max="87" width="9.83203125" style="58" customWidth="1"/>
    <col min="88" max="88" width="10.5" style="58" customWidth="1"/>
    <col min="89" max="89" width="10.6640625" style="58" customWidth="1"/>
    <col min="90" max="90" width="9.83203125" style="58" customWidth="1"/>
    <col min="91" max="94" width="9.6640625" style="58" customWidth="1"/>
    <col min="95" max="211" width="4.83203125" style="39" customWidth="1"/>
    <col min="212" max="16384" width="9.33203125" style="39"/>
  </cols>
  <sheetData>
    <row r="1" spans="1:94" s="24" customFormat="1" ht="27" customHeight="1" thickBot="1" x14ac:dyDescent="0.25">
      <c r="A1" s="1839" t="s">
        <v>2500</v>
      </c>
      <c r="B1" s="1840"/>
      <c r="C1" s="1840"/>
      <c r="D1" s="1725"/>
      <c r="E1" s="1802" t="s">
        <v>2544</v>
      </c>
      <c r="R1" s="1727"/>
      <c r="AC1" s="1727"/>
      <c r="AN1" s="1727"/>
      <c r="AY1" s="1727"/>
      <c r="BJ1" s="1727"/>
      <c r="BU1" s="1727"/>
      <c r="CF1" s="1727"/>
    </row>
    <row r="2" spans="1:94" s="103" customFormat="1" ht="36" customHeight="1" thickBot="1" x14ac:dyDescent="0.25">
      <c r="A2" s="1901" t="s">
        <v>2354</v>
      </c>
      <c r="B2" s="1902"/>
      <c r="C2" s="1903"/>
      <c r="D2" s="1724"/>
      <c r="E2" s="1841"/>
      <c r="F2" s="717"/>
      <c r="G2" s="717"/>
      <c r="H2" s="717"/>
      <c r="I2" s="717"/>
      <c r="J2" s="717"/>
      <c r="K2" s="717"/>
      <c r="L2" s="717"/>
      <c r="M2" s="717"/>
      <c r="N2" s="717"/>
      <c r="O2" s="600"/>
      <c r="P2" s="600"/>
      <c r="Q2" s="600"/>
      <c r="R2" s="717"/>
      <c r="S2" s="717"/>
      <c r="T2" s="717"/>
      <c r="U2" s="717"/>
      <c r="V2" s="717"/>
      <c r="W2" s="717"/>
      <c r="X2" s="717"/>
      <c r="Y2" s="717"/>
      <c r="Z2" s="600"/>
      <c r="AA2" s="600"/>
      <c r="AB2" s="600"/>
      <c r="AC2" s="717"/>
      <c r="AD2" s="717"/>
      <c r="AE2" s="717"/>
      <c r="AF2" s="717"/>
      <c r="AG2" s="717"/>
      <c r="AH2" s="717"/>
      <c r="AI2" s="717"/>
      <c r="AJ2" s="717"/>
      <c r="AK2" s="600"/>
      <c r="AL2" s="600"/>
      <c r="AM2" s="600"/>
      <c r="AN2" s="717"/>
      <c r="AO2" s="717"/>
      <c r="AP2" s="717"/>
      <c r="AQ2" s="717"/>
      <c r="AR2" s="717"/>
      <c r="AS2" s="717"/>
      <c r="AT2" s="717"/>
      <c r="AU2" s="717"/>
      <c r="AV2" s="600"/>
      <c r="AW2" s="600"/>
      <c r="AX2" s="600"/>
      <c r="AY2" s="717"/>
      <c r="AZ2" s="717"/>
      <c r="BA2" s="717"/>
      <c r="BB2" s="717"/>
      <c r="BC2" s="717"/>
      <c r="BD2" s="717"/>
      <c r="BE2" s="717"/>
      <c r="BF2" s="717"/>
      <c r="BG2" s="600"/>
      <c r="BH2" s="600"/>
      <c r="BI2" s="600"/>
      <c r="BJ2" s="717"/>
      <c r="BK2" s="717"/>
      <c r="BL2" s="717"/>
      <c r="BM2" s="717"/>
      <c r="BN2" s="717"/>
      <c r="BO2" s="717"/>
      <c r="BP2" s="717"/>
      <c r="BQ2" s="717"/>
      <c r="BR2" s="600"/>
      <c r="BS2" s="600"/>
      <c r="BT2" s="600"/>
      <c r="BU2" s="717"/>
      <c r="BV2" s="717"/>
      <c r="BW2" s="717"/>
      <c r="BX2" s="717"/>
      <c r="BY2" s="717"/>
      <c r="BZ2" s="717"/>
      <c r="CA2" s="717"/>
      <c r="CB2" s="717"/>
      <c r="CC2" s="600"/>
      <c r="CD2" s="600"/>
      <c r="CE2" s="600"/>
      <c r="CF2" s="717"/>
      <c r="CG2" s="717"/>
      <c r="CH2" s="717"/>
      <c r="CI2" s="717"/>
      <c r="CJ2" s="717"/>
      <c r="CK2" s="717"/>
      <c r="CL2" s="717"/>
      <c r="CM2" s="717"/>
      <c r="CN2" s="600"/>
      <c r="CO2" s="600"/>
      <c r="CP2" s="600"/>
    </row>
    <row r="3" spans="1:94" ht="132.75" customHeight="1" thickBot="1" x14ac:dyDescent="0.25">
      <c r="A3" s="1904" t="s">
        <v>2306</v>
      </c>
      <c r="B3" s="1905"/>
      <c r="C3" s="1906"/>
      <c r="D3" s="1557"/>
      <c r="E3" s="1842"/>
      <c r="F3" s="1739" t="s">
        <v>2239</v>
      </c>
      <c r="G3" s="1803" t="s">
        <v>2503</v>
      </c>
      <c r="H3" s="1803" t="s">
        <v>2503</v>
      </c>
      <c r="I3" s="1803" t="s">
        <v>2503</v>
      </c>
      <c r="J3" s="1803" t="s">
        <v>2503</v>
      </c>
      <c r="K3" s="1803" t="s">
        <v>2503</v>
      </c>
      <c r="L3" s="1803" t="s">
        <v>2503</v>
      </c>
      <c r="M3" s="1803" t="s">
        <v>2503</v>
      </c>
      <c r="N3" s="1803" t="s">
        <v>2503</v>
      </c>
      <c r="O3" s="1803" t="s">
        <v>2503</v>
      </c>
      <c r="P3" s="1803" t="s">
        <v>2503</v>
      </c>
      <c r="Q3" s="1803" t="s">
        <v>2503</v>
      </c>
      <c r="R3" s="1803" t="s">
        <v>2503</v>
      </c>
      <c r="S3" s="1803" t="s">
        <v>2503</v>
      </c>
      <c r="T3" s="1803" t="s">
        <v>2503</v>
      </c>
      <c r="U3" s="1803" t="s">
        <v>2503</v>
      </c>
      <c r="V3" s="1803" t="s">
        <v>2503</v>
      </c>
      <c r="W3" s="1803" t="s">
        <v>2503</v>
      </c>
      <c r="X3" s="1803" t="s">
        <v>2503</v>
      </c>
      <c r="Y3" s="1803" t="s">
        <v>2503</v>
      </c>
      <c r="Z3" s="1803" t="s">
        <v>2503</v>
      </c>
      <c r="AA3" s="1803" t="s">
        <v>2503</v>
      </c>
      <c r="AB3" s="1803" t="s">
        <v>2503</v>
      </c>
      <c r="AC3" s="1803" t="s">
        <v>2503</v>
      </c>
      <c r="AD3" s="1803" t="s">
        <v>2503</v>
      </c>
      <c r="AE3" s="1803" t="s">
        <v>2503</v>
      </c>
      <c r="AF3" s="1803" t="s">
        <v>2503</v>
      </c>
      <c r="AG3" s="1803" t="s">
        <v>2503</v>
      </c>
      <c r="AH3" s="1803" t="s">
        <v>2503</v>
      </c>
      <c r="AI3" s="1803" t="s">
        <v>2503</v>
      </c>
      <c r="AJ3" s="1803" t="s">
        <v>2503</v>
      </c>
      <c r="AK3" s="1803" t="s">
        <v>2503</v>
      </c>
      <c r="AL3" s="1803" t="s">
        <v>2503</v>
      </c>
      <c r="AM3" s="1803" t="s">
        <v>2503</v>
      </c>
      <c r="AN3" s="1803" t="s">
        <v>2503</v>
      </c>
      <c r="AO3" s="1803" t="s">
        <v>2503</v>
      </c>
      <c r="AP3" s="1803" t="s">
        <v>2503</v>
      </c>
      <c r="AQ3" s="1803" t="s">
        <v>2503</v>
      </c>
      <c r="AR3" s="1803" t="s">
        <v>2503</v>
      </c>
      <c r="AS3" s="1803" t="s">
        <v>2503</v>
      </c>
      <c r="AT3" s="1803" t="s">
        <v>2503</v>
      </c>
      <c r="AU3" s="1803" t="s">
        <v>2503</v>
      </c>
      <c r="AV3" s="1803" t="s">
        <v>2503</v>
      </c>
      <c r="AW3" s="1803" t="s">
        <v>2503</v>
      </c>
      <c r="AX3" s="1803" t="s">
        <v>2503</v>
      </c>
      <c r="AY3" s="1803" t="s">
        <v>2503</v>
      </c>
      <c r="AZ3" s="1803" t="s">
        <v>2503</v>
      </c>
      <c r="BA3" s="1803" t="s">
        <v>2503</v>
      </c>
      <c r="BB3" s="1803" t="s">
        <v>2503</v>
      </c>
      <c r="BC3" s="1803" t="s">
        <v>2503</v>
      </c>
      <c r="BD3" s="1803" t="s">
        <v>2503</v>
      </c>
      <c r="BE3" s="1803" t="s">
        <v>2503</v>
      </c>
      <c r="BF3" s="1803" t="s">
        <v>2503</v>
      </c>
      <c r="BG3" s="1803" t="s">
        <v>2503</v>
      </c>
      <c r="BH3" s="1803" t="s">
        <v>2503</v>
      </c>
      <c r="BI3" s="1803" t="s">
        <v>2503</v>
      </c>
      <c r="BJ3" s="1803" t="s">
        <v>2503</v>
      </c>
      <c r="BK3" s="1803" t="s">
        <v>2503</v>
      </c>
      <c r="BL3" s="1803" t="s">
        <v>2503</v>
      </c>
      <c r="BM3" s="1803" t="s">
        <v>2503</v>
      </c>
      <c r="BN3" s="1803" t="s">
        <v>2503</v>
      </c>
      <c r="BO3" s="1803" t="s">
        <v>2503</v>
      </c>
      <c r="BP3" s="1803" t="s">
        <v>2503</v>
      </c>
      <c r="BQ3" s="1803" t="s">
        <v>2503</v>
      </c>
      <c r="BR3" s="1803" t="s">
        <v>2503</v>
      </c>
      <c r="BS3" s="1803" t="s">
        <v>2503</v>
      </c>
      <c r="BT3" s="1803" t="s">
        <v>2503</v>
      </c>
      <c r="BU3" s="1803" t="s">
        <v>2503</v>
      </c>
      <c r="BV3" s="1803" t="s">
        <v>2503</v>
      </c>
      <c r="BW3" s="1803" t="s">
        <v>2503</v>
      </c>
      <c r="BX3" s="1803" t="s">
        <v>2503</v>
      </c>
      <c r="BY3" s="1803" t="s">
        <v>2503</v>
      </c>
      <c r="BZ3" s="1803" t="s">
        <v>2503</v>
      </c>
      <c r="CA3" s="1803" t="s">
        <v>2503</v>
      </c>
      <c r="CB3" s="1803" t="s">
        <v>2503</v>
      </c>
      <c r="CC3" s="1803" t="s">
        <v>2503</v>
      </c>
      <c r="CD3" s="1803" t="s">
        <v>2503</v>
      </c>
      <c r="CE3" s="1803" t="s">
        <v>2503</v>
      </c>
      <c r="CF3" s="1803" t="s">
        <v>2503</v>
      </c>
      <c r="CG3" s="1803" t="s">
        <v>2503</v>
      </c>
      <c r="CH3" s="1803" t="s">
        <v>2503</v>
      </c>
      <c r="CI3" s="1803" t="s">
        <v>2503</v>
      </c>
      <c r="CJ3" s="1803" t="s">
        <v>2503</v>
      </c>
      <c r="CK3" s="1803" t="s">
        <v>2503</v>
      </c>
      <c r="CL3" s="1803" t="s">
        <v>2503</v>
      </c>
      <c r="CM3" s="1803" t="s">
        <v>2503</v>
      </c>
      <c r="CN3" s="1803" t="s">
        <v>2503</v>
      </c>
      <c r="CO3" s="1803" t="s">
        <v>2503</v>
      </c>
      <c r="CP3" s="1803" t="s">
        <v>2503</v>
      </c>
    </row>
    <row r="4" spans="1:94" s="69" customFormat="1" ht="36" customHeight="1" thickBot="1" x14ac:dyDescent="0.25">
      <c r="A4" s="647" t="s">
        <v>1319</v>
      </c>
      <c r="B4" s="647" t="s">
        <v>77</v>
      </c>
      <c r="C4" s="648" t="s">
        <v>456</v>
      </c>
      <c r="D4" s="647"/>
      <c r="E4" s="647" t="s">
        <v>1811</v>
      </c>
      <c r="F4" s="1224"/>
      <c r="G4" s="1740"/>
      <c r="H4" s="1740"/>
      <c r="I4" s="1740"/>
      <c r="J4" s="1740"/>
      <c r="K4" s="1740"/>
      <c r="L4" s="1740"/>
      <c r="M4" s="1740"/>
      <c r="N4" s="1740"/>
      <c r="O4" s="1740"/>
      <c r="P4" s="1740"/>
      <c r="Q4" s="1740"/>
      <c r="R4" s="1740"/>
      <c r="S4" s="1740"/>
      <c r="T4" s="1740"/>
      <c r="U4" s="1740"/>
      <c r="V4" s="1740"/>
      <c r="W4" s="1740"/>
      <c r="X4" s="1740"/>
      <c r="Y4" s="1740"/>
      <c r="Z4" s="1740"/>
      <c r="AA4" s="1740"/>
      <c r="AB4" s="1740"/>
      <c r="AC4" s="1740"/>
      <c r="AD4" s="1740"/>
      <c r="AE4" s="1740"/>
      <c r="AF4" s="1740"/>
      <c r="AG4" s="1740"/>
      <c r="AH4" s="1740"/>
      <c r="AI4" s="1740"/>
      <c r="AJ4" s="1740"/>
      <c r="AK4" s="1740"/>
      <c r="AL4" s="1740"/>
      <c r="AM4" s="1740"/>
      <c r="AN4" s="1740"/>
      <c r="AO4" s="1740"/>
      <c r="AP4" s="1740"/>
      <c r="AQ4" s="1740"/>
      <c r="AR4" s="1740"/>
      <c r="AS4" s="1740"/>
      <c r="AT4" s="1740"/>
      <c r="AU4" s="1740"/>
      <c r="AV4" s="1740"/>
      <c r="AW4" s="1740"/>
      <c r="AX4" s="1740"/>
      <c r="AY4" s="1740"/>
      <c r="AZ4" s="1740"/>
      <c r="BA4" s="1740"/>
      <c r="BB4" s="1740"/>
      <c r="BC4" s="1740"/>
      <c r="BD4" s="1740"/>
      <c r="BE4" s="1740"/>
      <c r="BF4" s="1740"/>
      <c r="BG4" s="1740"/>
      <c r="BH4" s="1740"/>
      <c r="BI4" s="1740"/>
      <c r="BJ4" s="1740"/>
      <c r="BK4" s="1740"/>
      <c r="BL4" s="1740"/>
      <c r="BM4" s="1740"/>
      <c r="BN4" s="1740"/>
      <c r="BO4" s="1740"/>
      <c r="BP4" s="1740"/>
      <c r="BQ4" s="1740"/>
      <c r="BR4" s="1740"/>
      <c r="BS4" s="1740"/>
      <c r="BT4" s="1740"/>
      <c r="BU4" s="1740"/>
      <c r="BV4" s="1740"/>
      <c r="BW4" s="1740"/>
      <c r="BX4" s="1740"/>
      <c r="BY4" s="1740"/>
      <c r="BZ4" s="1740"/>
      <c r="CA4" s="1740"/>
      <c r="CB4" s="1740"/>
      <c r="CC4" s="1740"/>
      <c r="CD4" s="1740"/>
      <c r="CE4" s="1740"/>
      <c r="CF4" s="1740"/>
      <c r="CG4" s="1740"/>
      <c r="CH4" s="1740"/>
      <c r="CI4" s="1740"/>
      <c r="CJ4" s="1740"/>
      <c r="CK4" s="1740"/>
      <c r="CL4" s="1740"/>
      <c r="CM4" s="1740"/>
      <c r="CN4" s="1740"/>
      <c r="CO4" s="1740"/>
      <c r="CP4" s="1740"/>
    </row>
    <row r="5" spans="1:94" s="58" customFormat="1" ht="21" customHeight="1" thickBot="1" x14ac:dyDescent="0.25">
      <c r="A5" s="1846" t="s">
        <v>1276</v>
      </c>
      <c r="B5" s="1850" t="s">
        <v>552</v>
      </c>
      <c r="C5" s="1776" t="s">
        <v>2242</v>
      </c>
      <c r="D5" s="1230"/>
      <c r="E5" s="1853" t="s">
        <v>2372</v>
      </c>
      <c r="F5" s="1225"/>
      <c r="G5" s="1735"/>
      <c r="H5" s="1735"/>
      <c r="I5" s="1735"/>
      <c r="J5" s="1735"/>
      <c r="K5" s="1735"/>
      <c r="L5" s="1735"/>
      <c r="M5" s="1735"/>
      <c r="N5" s="1735"/>
      <c r="O5" s="1735"/>
      <c r="P5" s="1735"/>
      <c r="Q5" s="1735"/>
      <c r="R5" s="1735"/>
      <c r="S5" s="1735"/>
      <c r="T5" s="1735"/>
      <c r="U5" s="1735"/>
      <c r="V5" s="1735"/>
      <c r="W5" s="1735"/>
      <c r="X5" s="1735"/>
      <c r="Y5" s="1735"/>
      <c r="Z5" s="1735"/>
      <c r="AA5" s="1735"/>
      <c r="AB5" s="1735"/>
      <c r="AC5" s="1735"/>
      <c r="AD5" s="1735"/>
      <c r="AE5" s="1735"/>
      <c r="AF5" s="1735"/>
      <c r="AG5" s="1735"/>
      <c r="AH5" s="1735"/>
      <c r="AI5" s="1735"/>
      <c r="AJ5" s="1735"/>
      <c r="AK5" s="1735"/>
      <c r="AL5" s="1735"/>
      <c r="AM5" s="1735"/>
      <c r="AN5" s="1735"/>
      <c r="AO5" s="1735"/>
      <c r="AP5" s="1735"/>
      <c r="AQ5" s="1735"/>
      <c r="AR5" s="1735"/>
      <c r="AS5" s="1735"/>
      <c r="AT5" s="1735"/>
      <c r="AU5" s="1735"/>
      <c r="AV5" s="1735"/>
      <c r="AW5" s="1735"/>
      <c r="AX5" s="1735"/>
      <c r="AY5" s="1735"/>
      <c r="AZ5" s="1735"/>
      <c r="BA5" s="1735"/>
      <c r="BB5" s="1735"/>
      <c r="BC5" s="1735"/>
      <c r="BD5" s="1735"/>
      <c r="BE5" s="1735"/>
      <c r="BF5" s="1735"/>
      <c r="BG5" s="1735"/>
      <c r="BH5" s="1735"/>
      <c r="BI5" s="1735"/>
      <c r="BJ5" s="1735"/>
      <c r="BK5" s="1735"/>
      <c r="BL5" s="1735"/>
      <c r="BM5" s="1735"/>
      <c r="BN5" s="1735"/>
      <c r="BO5" s="1735"/>
      <c r="BP5" s="1735"/>
      <c r="BQ5" s="1735"/>
      <c r="BR5" s="1735"/>
      <c r="BS5" s="1735"/>
      <c r="BT5" s="1735"/>
      <c r="BU5" s="1735"/>
      <c r="BV5" s="1735"/>
      <c r="BW5" s="1735"/>
      <c r="BX5" s="1735"/>
      <c r="BY5" s="1735"/>
      <c r="BZ5" s="1735"/>
      <c r="CA5" s="1735"/>
      <c r="CB5" s="1735"/>
      <c r="CC5" s="1735"/>
      <c r="CD5" s="1735"/>
      <c r="CE5" s="1735"/>
      <c r="CF5" s="1735"/>
      <c r="CG5" s="1735"/>
      <c r="CH5" s="1735"/>
      <c r="CI5" s="1735"/>
      <c r="CJ5" s="1735"/>
      <c r="CK5" s="1735"/>
      <c r="CL5" s="1735"/>
      <c r="CM5" s="1735"/>
      <c r="CN5" s="1735"/>
      <c r="CO5" s="1735"/>
      <c r="CP5" s="1735"/>
    </row>
    <row r="6" spans="1:94" s="58" customFormat="1" ht="27" customHeight="1" x14ac:dyDescent="0.2">
      <c r="A6" s="1856"/>
      <c r="B6" s="1851"/>
      <c r="C6" s="1277" t="s">
        <v>2349</v>
      </c>
      <c r="D6" s="1230"/>
      <c r="E6" s="1854"/>
      <c r="F6" s="1225"/>
      <c r="G6" s="1764"/>
      <c r="H6" s="1764"/>
      <c r="I6" s="1764"/>
      <c r="J6" s="1764"/>
      <c r="K6" s="1764"/>
      <c r="L6" s="1764"/>
      <c r="M6" s="1764"/>
      <c r="N6" s="1764"/>
      <c r="O6" s="1764"/>
      <c r="P6" s="1764"/>
      <c r="Q6" s="1764"/>
      <c r="R6" s="1764"/>
      <c r="S6" s="1764"/>
      <c r="T6" s="1764"/>
      <c r="U6" s="1764"/>
      <c r="V6" s="1764"/>
      <c r="W6" s="1764"/>
      <c r="X6" s="1764"/>
      <c r="Y6" s="1764"/>
      <c r="Z6" s="1764"/>
      <c r="AA6" s="1764"/>
      <c r="AB6" s="1764"/>
      <c r="AC6" s="1764"/>
      <c r="AD6" s="1764"/>
      <c r="AE6" s="1764"/>
      <c r="AF6" s="1764"/>
      <c r="AG6" s="1764"/>
      <c r="AH6" s="1764"/>
      <c r="AI6" s="1764"/>
      <c r="AJ6" s="1764"/>
      <c r="AK6" s="1764"/>
      <c r="AL6" s="1764"/>
      <c r="AM6" s="1764"/>
      <c r="AN6" s="1764"/>
      <c r="AO6" s="1764"/>
      <c r="AP6" s="1764"/>
      <c r="AQ6" s="1764"/>
      <c r="AR6" s="1764"/>
      <c r="AS6" s="1764"/>
      <c r="AT6" s="1764"/>
      <c r="AU6" s="1764"/>
      <c r="AV6" s="1764"/>
      <c r="AW6" s="1764"/>
      <c r="AX6" s="1764"/>
      <c r="AY6" s="1764"/>
      <c r="AZ6" s="1764"/>
      <c r="BA6" s="1764"/>
      <c r="BB6" s="1764"/>
      <c r="BC6" s="1764"/>
      <c r="BD6" s="1764"/>
      <c r="BE6" s="1764"/>
      <c r="BF6" s="1764"/>
      <c r="BG6" s="1764"/>
      <c r="BH6" s="1764"/>
      <c r="BI6" s="1764"/>
      <c r="BJ6" s="1764"/>
      <c r="BK6" s="1764"/>
      <c r="BL6" s="1764"/>
      <c r="BM6" s="1764"/>
      <c r="BN6" s="1764"/>
      <c r="BO6" s="1764"/>
      <c r="BP6" s="1764"/>
      <c r="BQ6" s="1764"/>
      <c r="BR6" s="1764"/>
      <c r="BS6" s="1764"/>
      <c r="BT6" s="1764"/>
      <c r="BU6" s="1764"/>
      <c r="BV6" s="1764"/>
      <c r="BW6" s="1764"/>
      <c r="BX6" s="1764"/>
      <c r="BY6" s="1764"/>
      <c r="BZ6" s="1764"/>
      <c r="CA6" s="1764"/>
      <c r="CB6" s="1764"/>
      <c r="CC6" s="1764"/>
      <c r="CD6" s="1764"/>
      <c r="CE6" s="1764"/>
      <c r="CF6" s="1764"/>
      <c r="CG6" s="1764"/>
      <c r="CH6" s="1764"/>
      <c r="CI6" s="1764"/>
      <c r="CJ6" s="1764"/>
      <c r="CK6" s="1764"/>
      <c r="CL6" s="1764"/>
      <c r="CM6" s="1764"/>
      <c r="CN6" s="1764"/>
      <c r="CO6" s="1764"/>
      <c r="CP6" s="1764"/>
    </row>
    <row r="7" spans="1:94" s="58" customFormat="1" ht="68.25" customHeight="1" x14ac:dyDescent="0.2">
      <c r="A7" s="1856"/>
      <c r="B7" s="1851"/>
      <c r="C7" s="1273" t="s">
        <v>2434</v>
      </c>
      <c r="D7" s="1228"/>
      <c r="E7" s="1854"/>
      <c r="F7" s="1225"/>
      <c r="G7" s="1765">
        <v>0</v>
      </c>
      <c r="H7" s="1765">
        <v>0</v>
      </c>
      <c r="I7" s="1765">
        <v>0</v>
      </c>
      <c r="J7" s="1765">
        <v>0</v>
      </c>
      <c r="K7" s="1765">
        <v>0</v>
      </c>
      <c r="L7" s="1765">
        <v>0</v>
      </c>
      <c r="M7" s="1765">
        <v>0</v>
      </c>
      <c r="N7" s="1765">
        <v>0</v>
      </c>
      <c r="O7" s="1765">
        <v>0</v>
      </c>
      <c r="P7" s="1765">
        <v>0</v>
      </c>
      <c r="Q7" s="1765">
        <v>0</v>
      </c>
      <c r="R7" s="1765">
        <v>0</v>
      </c>
      <c r="S7" s="1765">
        <v>0</v>
      </c>
      <c r="T7" s="1765">
        <v>0</v>
      </c>
      <c r="U7" s="1765">
        <v>0</v>
      </c>
      <c r="V7" s="1765">
        <v>0</v>
      </c>
      <c r="W7" s="1765">
        <v>0</v>
      </c>
      <c r="X7" s="1765">
        <v>0</v>
      </c>
      <c r="Y7" s="1765">
        <v>0</v>
      </c>
      <c r="Z7" s="1765">
        <v>0</v>
      </c>
      <c r="AA7" s="1765">
        <v>0</v>
      </c>
      <c r="AB7" s="1765">
        <v>0</v>
      </c>
      <c r="AC7" s="1765">
        <v>0</v>
      </c>
      <c r="AD7" s="1765">
        <v>0</v>
      </c>
      <c r="AE7" s="1765">
        <v>0</v>
      </c>
      <c r="AF7" s="1765">
        <v>0</v>
      </c>
      <c r="AG7" s="1765">
        <v>0</v>
      </c>
      <c r="AH7" s="1765">
        <v>0</v>
      </c>
      <c r="AI7" s="1765">
        <v>0</v>
      </c>
      <c r="AJ7" s="1765">
        <v>0</v>
      </c>
      <c r="AK7" s="1765">
        <v>0</v>
      </c>
      <c r="AL7" s="1765">
        <v>0</v>
      </c>
      <c r="AM7" s="1765">
        <v>0</v>
      </c>
      <c r="AN7" s="1765">
        <v>0</v>
      </c>
      <c r="AO7" s="1765">
        <v>0</v>
      </c>
      <c r="AP7" s="1765">
        <v>0</v>
      </c>
      <c r="AQ7" s="1765">
        <v>0</v>
      </c>
      <c r="AR7" s="1765">
        <v>0</v>
      </c>
      <c r="AS7" s="1765">
        <v>0</v>
      </c>
      <c r="AT7" s="1765">
        <v>0</v>
      </c>
      <c r="AU7" s="1765">
        <v>0</v>
      </c>
      <c r="AV7" s="1765">
        <v>0</v>
      </c>
      <c r="AW7" s="1765">
        <v>0</v>
      </c>
      <c r="AX7" s="1765">
        <v>0</v>
      </c>
      <c r="AY7" s="1765">
        <v>0</v>
      </c>
      <c r="AZ7" s="1765">
        <v>0</v>
      </c>
      <c r="BA7" s="1765">
        <v>0</v>
      </c>
      <c r="BB7" s="1765">
        <v>0</v>
      </c>
      <c r="BC7" s="1765">
        <v>0</v>
      </c>
      <c r="BD7" s="1765">
        <v>0</v>
      </c>
      <c r="BE7" s="1765">
        <v>0</v>
      </c>
      <c r="BF7" s="1765">
        <v>0</v>
      </c>
      <c r="BG7" s="1765">
        <v>0</v>
      </c>
      <c r="BH7" s="1765">
        <v>0</v>
      </c>
      <c r="BI7" s="1765">
        <v>0</v>
      </c>
      <c r="BJ7" s="1765">
        <v>0</v>
      </c>
      <c r="BK7" s="1765">
        <v>0</v>
      </c>
      <c r="BL7" s="1765">
        <v>0</v>
      </c>
      <c r="BM7" s="1765">
        <v>0</v>
      </c>
      <c r="BN7" s="1765">
        <v>0</v>
      </c>
      <c r="BO7" s="1765">
        <v>0</v>
      </c>
      <c r="BP7" s="1765">
        <v>0</v>
      </c>
      <c r="BQ7" s="1765">
        <v>0</v>
      </c>
      <c r="BR7" s="1765">
        <v>0</v>
      </c>
      <c r="BS7" s="1765">
        <v>0</v>
      </c>
      <c r="BT7" s="1765">
        <v>0</v>
      </c>
      <c r="BU7" s="1765">
        <v>0</v>
      </c>
      <c r="BV7" s="1765">
        <v>0</v>
      </c>
      <c r="BW7" s="1765">
        <v>0</v>
      </c>
      <c r="BX7" s="1765">
        <v>0</v>
      </c>
      <c r="BY7" s="1765">
        <v>0</v>
      </c>
      <c r="BZ7" s="1765">
        <v>0</v>
      </c>
      <c r="CA7" s="1765">
        <v>0</v>
      </c>
      <c r="CB7" s="1765">
        <v>0</v>
      </c>
      <c r="CC7" s="1765">
        <v>0</v>
      </c>
      <c r="CD7" s="1765">
        <v>0</v>
      </c>
      <c r="CE7" s="1765">
        <v>0</v>
      </c>
      <c r="CF7" s="1765">
        <v>0</v>
      </c>
      <c r="CG7" s="1765">
        <v>0</v>
      </c>
      <c r="CH7" s="1765">
        <v>0</v>
      </c>
      <c r="CI7" s="1765">
        <v>0</v>
      </c>
      <c r="CJ7" s="1765">
        <v>0</v>
      </c>
      <c r="CK7" s="1765">
        <v>0</v>
      </c>
      <c r="CL7" s="1765">
        <v>0</v>
      </c>
      <c r="CM7" s="1765">
        <v>0</v>
      </c>
      <c r="CN7" s="1765">
        <v>0</v>
      </c>
      <c r="CO7" s="1765">
        <v>0</v>
      </c>
      <c r="CP7" s="1765">
        <v>0</v>
      </c>
    </row>
    <row r="8" spans="1:94" s="58" customFormat="1" ht="49.9" customHeight="1" thickBot="1" x14ac:dyDescent="0.25">
      <c r="A8" s="1856"/>
      <c r="B8" s="1851"/>
      <c r="C8" s="1273" t="s">
        <v>2435</v>
      </c>
      <c r="D8" s="1228"/>
      <c r="E8" s="1854"/>
      <c r="F8" s="1225"/>
      <c r="G8" s="1765">
        <v>0</v>
      </c>
      <c r="H8" s="1765">
        <v>0</v>
      </c>
      <c r="I8" s="1765">
        <v>0</v>
      </c>
      <c r="J8" s="1765">
        <v>0</v>
      </c>
      <c r="K8" s="1765">
        <v>0</v>
      </c>
      <c r="L8" s="1765">
        <v>0</v>
      </c>
      <c r="M8" s="1765">
        <v>0</v>
      </c>
      <c r="N8" s="1765">
        <v>0</v>
      </c>
      <c r="O8" s="1765">
        <v>0</v>
      </c>
      <c r="P8" s="1765">
        <v>0</v>
      </c>
      <c r="Q8" s="1765">
        <v>0</v>
      </c>
      <c r="R8" s="1765">
        <v>0</v>
      </c>
      <c r="S8" s="1765">
        <v>0</v>
      </c>
      <c r="T8" s="1765">
        <v>0</v>
      </c>
      <c r="U8" s="1765">
        <v>0</v>
      </c>
      <c r="V8" s="1765">
        <v>0</v>
      </c>
      <c r="W8" s="1765">
        <v>0</v>
      </c>
      <c r="X8" s="1765">
        <v>0</v>
      </c>
      <c r="Y8" s="1765">
        <v>0</v>
      </c>
      <c r="Z8" s="1765">
        <v>0</v>
      </c>
      <c r="AA8" s="1765">
        <v>0</v>
      </c>
      <c r="AB8" s="1765">
        <v>0</v>
      </c>
      <c r="AC8" s="1765">
        <v>0</v>
      </c>
      <c r="AD8" s="1765">
        <v>0</v>
      </c>
      <c r="AE8" s="1765">
        <v>0</v>
      </c>
      <c r="AF8" s="1765">
        <v>0</v>
      </c>
      <c r="AG8" s="1765">
        <v>0</v>
      </c>
      <c r="AH8" s="1765">
        <v>0</v>
      </c>
      <c r="AI8" s="1765">
        <v>0</v>
      </c>
      <c r="AJ8" s="1765">
        <v>0</v>
      </c>
      <c r="AK8" s="1765">
        <v>0</v>
      </c>
      <c r="AL8" s="1765">
        <v>0</v>
      </c>
      <c r="AM8" s="1765">
        <v>0</v>
      </c>
      <c r="AN8" s="1765">
        <v>0</v>
      </c>
      <c r="AO8" s="1765">
        <v>0</v>
      </c>
      <c r="AP8" s="1765">
        <v>0</v>
      </c>
      <c r="AQ8" s="1765">
        <v>0</v>
      </c>
      <c r="AR8" s="1765">
        <v>0</v>
      </c>
      <c r="AS8" s="1765">
        <v>0</v>
      </c>
      <c r="AT8" s="1765">
        <v>0</v>
      </c>
      <c r="AU8" s="1765">
        <v>0</v>
      </c>
      <c r="AV8" s="1765">
        <v>0</v>
      </c>
      <c r="AW8" s="1765">
        <v>0</v>
      </c>
      <c r="AX8" s="1765">
        <v>0</v>
      </c>
      <c r="AY8" s="1765">
        <v>0</v>
      </c>
      <c r="AZ8" s="1765">
        <v>0</v>
      </c>
      <c r="BA8" s="1765">
        <v>0</v>
      </c>
      <c r="BB8" s="1765">
        <v>0</v>
      </c>
      <c r="BC8" s="1765">
        <v>0</v>
      </c>
      <c r="BD8" s="1765">
        <v>0</v>
      </c>
      <c r="BE8" s="1765">
        <v>0</v>
      </c>
      <c r="BF8" s="1765">
        <v>0</v>
      </c>
      <c r="BG8" s="1765">
        <v>0</v>
      </c>
      <c r="BH8" s="1765">
        <v>0</v>
      </c>
      <c r="BI8" s="1765">
        <v>0</v>
      </c>
      <c r="BJ8" s="1765">
        <v>0</v>
      </c>
      <c r="BK8" s="1765">
        <v>0</v>
      </c>
      <c r="BL8" s="1765">
        <v>0</v>
      </c>
      <c r="BM8" s="1765">
        <v>0</v>
      </c>
      <c r="BN8" s="1765">
        <v>0</v>
      </c>
      <c r="BO8" s="1765">
        <v>0</v>
      </c>
      <c r="BP8" s="1765">
        <v>0</v>
      </c>
      <c r="BQ8" s="1765">
        <v>0</v>
      </c>
      <c r="BR8" s="1765">
        <v>0</v>
      </c>
      <c r="BS8" s="1765">
        <v>0</v>
      </c>
      <c r="BT8" s="1765">
        <v>0</v>
      </c>
      <c r="BU8" s="1765">
        <v>0</v>
      </c>
      <c r="BV8" s="1765">
        <v>0</v>
      </c>
      <c r="BW8" s="1765">
        <v>0</v>
      </c>
      <c r="BX8" s="1765">
        <v>0</v>
      </c>
      <c r="BY8" s="1765">
        <v>0</v>
      </c>
      <c r="BZ8" s="1765">
        <v>0</v>
      </c>
      <c r="CA8" s="1765">
        <v>0</v>
      </c>
      <c r="CB8" s="1765">
        <v>0</v>
      </c>
      <c r="CC8" s="1765">
        <v>0</v>
      </c>
      <c r="CD8" s="1765">
        <v>0</v>
      </c>
      <c r="CE8" s="1765">
        <v>0</v>
      </c>
      <c r="CF8" s="1765">
        <v>0</v>
      </c>
      <c r="CG8" s="1765">
        <v>0</v>
      </c>
      <c r="CH8" s="1765">
        <v>0</v>
      </c>
      <c r="CI8" s="1765">
        <v>0</v>
      </c>
      <c r="CJ8" s="1765">
        <v>0</v>
      </c>
      <c r="CK8" s="1765">
        <v>0</v>
      </c>
      <c r="CL8" s="1765">
        <v>0</v>
      </c>
      <c r="CM8" s="1765">
        <v>0</v>
      </c>
      <c r="CN8" s="1765">
        <v>0</v>
      </c>
      <c r="CO8" s="1765">
        <v>0</v>
      </c>
      <c r="CP8" s="1765">
        <v>0</v>
      </c>
    </row>
    <row r="9" spans="1:94" s="58" customFormat="1" ht="30" customHeight="1" x14ac:dyDescent="0.2">
      <c r="A9" s="1856"/>
      <c r="B9" s="1851"/>
      <c r="C9" s="1278" t="s">
        <v>2307</v>
      </c>
      <c r="D9" s="1230"/>
      <c r="E9" s="1854"/>
      <c r="F9" s="1225"/>
      <c r="G9" s="1766"/>
      <c r="H9" s="1766"/>
      <c r="I9" s="1766"/>
      <c r="J9" s="1766"/>
      <c r="K9" s="1766"/>
      <c r="L9" s="1766"/>
      <c r="M9" s="1766"/>
      <c r="N9" s="1766"/>
      <c r="O9" s="1766"/>
      <c r="P9" s="1766"/>
      <c r="Q9" s="1766"/>
      <c r="R9" s="1766"/>
      <c r="S9" s="1766"/>
      <c r="T9" s="1766"/>
      <c r="U9" s="1766"/>
      <c r="V9" s="1766"/>
      <c r="W9" s="1766"/>
      <c r="X9" s="1766"/>
      <c r="Y9" s="1766"/>
      <c r="Z9" s="1766"/>
      <c r="AA9" s="1766"/>
      <c r="AB9" s="1766"/>
      <c r="AC9" s="1766"/>
      <c r="AD9" s="1766"/>
      <c r="AE9" s="1766"/>
      <c r="AF9" s="1766"/>
      <c r="AG9" s="1766"/>
      <c r="AH9" s="1766"/>
      <c r="AI9" s="1766"/>
      <c r="AJ9" s="1766"/>
      <c r="AK9" s="1766"/>
      <c r="AL9" s="1766"/>
      <c r="AM9" s="1766"/>
      <c r="AN9" s="1766"/>
      <c r="AO9" s="1766"/>
      <c r="AP9" s="1766"/>
      <c r="AQ9" s="1766"/>
      <c r="AR9" s="1766"/>
      <c r="AS9" s="1766"/>
      <c r="AT9" s="1766"/>
      <c r="AU9" s="1766"/>
      <c r="AV9" s="1766"/>
      <c r="AW9" s="1766"/>
      <c r="AX9" s="1766"/>
      <c r="AY9" s="1766"/>
      <c r="AZ9" s="1766"/>
      <c r="BA9" s="1766"/>
      <c r="BB9" s="1766"/>
      <c r="BC9" s="1766"/>
      <c r="BD9" s="1766"/>
      <c r="BE9" s="1766"/>
      <c r="BF9" s="1766"/>
      <c r="BG9" s="1766"/>
      <c r="BH9" s="1766"/>
      <c r="BI9" s="1766"/>
      <c r="BJ9" s="1766"/>
      <c r="BK9" s="1766"/>
      <c r="BL9" s="1766"/>
      <c r="BM9" s="1766"/>
      <c r="BN9" s="1766"/>
      <c r="BO9" s="1766"/>
      <c r="BP9" s="1766"/>
      <c r="BQ9" s="1766"/>
      <c r="BR9" s="1766"/>
      <c r="BS9" s="1766"/>
      <c r="BT9" s="1766"/>
      <c r="BU9" s="1766"/>
      <c r="BV9" s="1766"/>
      <c r="BW9" s="1766"/>
      <c r="BX9" s="1766"/>
      <c r="BY9" s="1766"/>
      <c r="BZ9" s="1766"/>
      <c r="CA9" s="1766"/>
      <c r="CB9" s="1766"/>
      <c r="CC9" s="1766"/>
      <c r="CD9" s="1766"/>
      <c r="CE9" s="1766"/>
      <c r="CF9" s="1766"/>
      <c r="CG9" s="1766"/>
      <c r="CH9" s="1766"/>
      <c r="CI9" s="1766"/>
      <c r="CJ9" s="1766"/>
      <c r="CK9" s="1766"/>
      <c r="CL9" s="1766"/>
      <c r="CM9" s="1766"/>
      <c r="CN9" s="1766"/>
      <c r="CO9" s="1766"/>
      <c r="CP9" s="1766"/>
    </row>
    <row r="10" spans="1:94" s="58" customFormat="1" ht="38.25" x14ac:dyDescent="0.2">
      <c r="A10" s="1856"/>
      <c r="B10" s="1851"/>
      <c r="C10" s="1273" t="s">
        <v>2350</v>
      </c>
      <c r="D10" s="1228"/>
      <c r="E10" s="1854"/>
      <c r="F10" s="1225"/>
      <c r="G10" s="1765">
        <v>0</v>
      </c>
      <c r="H10" s="1765">
        <v>0</v>
      </c>
      <c r="I10" s="1765">
        <v>0</v>
      </c>
      <c r="J10" s="1765">
        <v>0</v>
      </c>
      <c r="K10" s="1765">
        <v>0</v>
      </c>
      <c r="L10" s="1765">
        <v>0</v>
      </c>
      <c r="M10" s="1765">
        <v>0</v>
      </c>
      <c r="N10" s="1765">
        <v>0</v>
      </c>
      <c r="O10" s="1765">
        <v>0</v>
      </c>
      <c r="P10" s="1765">
        <v>0</v>
      </c>
      <c r="Q10" s="1765">
        <v>0</v>
      </c>
      <c r="R10" s="1765">
        <v>0</v>
      </c>
      <c r="S10" s="1765">
        <v>0</v>
      </c>
      <c r="T10" s="1765">
        <v>0</v>
      </c>
      <c r="U10" s="1765">
        <v>0</v>
      </c>
      <c r="V10" s="1765">
        <v>0</v>
      </c>
      <c r="W10" s="1765">
        <v>0</v>
      </c>
      <c r="X10" s="1765">
        <v>0</v>
      </c>
      <c r="Y10" s="1765">
        <v>0</v>
      </c>
      <c r="Z10" s="1765">
        <v>0</v>
      </c>
      <c r="AA10" s="1765">
        <v>0</v>
      </c>
      <c r="AB10" s="1765">
        <v>0</v>
      </c>
      <c r="AC10" s="1765">
        <v>0</v>
      </c>
      <c r="AD10" s="1765">
        <v>0</v>
      </c>
      <c r="AE10" s="1765">
        <v>0</v>
      </c>
      <c r="AF10" s="1765">
        <v>0</v>
      </c>
      <c r="AG10" s="1765">
        <v>0</v>
      </c>
      <c r="AH10" s="1765">
        <v>0</v>
      </c>
      <c r="AI10" s="1765">
        <v>0</v>
      </c>
      <c r="AJ10" s="1765">
        <v>0</v>
      </c>
      <c r="AK10" s="1765">
        <v>0</v>
      </c>
      <c r="AL10" s="1765">
        <v>0</v>
      </c>
      <c r="AM10" s="1765">
        <v>0</v>
      </c>
      <c r="AN10" s="1765">
        <v>0</v>
      </c>
      <c r="AO10" s="1765">
        <v>0</v>
      </c>
      <c r="AP10" s="1765">
        <v>0</v>
      </c>
      <c r="AQ10" s="1765">
        <v>0</v>
      </c>
      <c r="AR10" s="1765">
        <v>0</v>
      </c>
      <c r="AS10" s="1765">
        <v>0</v>
      </c>
      <c r="AT10" s="1765">
        <v>0</v>
      </c>
      <c r="AU10" s="1765">
        <v>0</v>
      </c>
      <c r="AV10" s="1765">
        <v>0</v>
      </c>
      <c r="AW10" s="1765">
        <v>0</v>
      </c>
      <c r="AX10" s="1765">
        <v>0</v>
      </c>
      <c r="AY10" s="1765">
        <v>0</v>
      </c>
      <c r="AZ10" s="1765">
        <v>0</v>
      </c>
      <c r="BA10" s="1765">
        <v>0</v>
      </c>
      <c r="BB10" s="1765">
        <v>0</v>
      </c>
      <c r="BC10" s="1765">
        <v>0</v>
      </c>
      <c r="BD10" s="1765">
        <v>0</v>
      </c>
      <c r="BE10" s="1765">
        <v>0</v>
      </c>
      <c r="BF10" s="1765">
        <v>0</v>
      </c>
      <c r="BG10" s="1765">
        <v>0</v>
      </c>
      <c r="BH10" s="1765">
        <v>0</v>
      </c>
      <c r="BI10" s="1765">
        <v>0</v>
      </c>
      <c r="BJ10" s="1765">
        <v>0</v>
      </c>
      <c r="BK10" s="1765">
        <v>0</v>
      </c>
      <c r="BL10" s="1765">
        <v>0</v>
      </c>
      <c r="BM10" s="1765">
        <v>0</v>
      </c>
      <c r="BN10" s="1765">
        <v>0</v>
      </c>
      <c r="BO10" s="1765">
        <v>0</v>
      </c>
      <c r="BP10" s="1765">
        <v>0</v>
      </c>
      <c r="BQ10" s="1765">
        <v>0</v>
      </c>
      <c r="BR10" s="1765">
        <v>0</v>
      </c>
      <c r="BS10" s="1765">
        <v>0</v>
      </c>
      <c r="BT10" s="1765">
        <v>0</v>
      </c>
      <c r="BU10" s="1765">
        <v>0</v>
      </c>
      <c r="BV10" s="1765">
        <v>0</v>
      </c>
      <c r="BW10" s="1765">
        <v>0</v>
      </c>
      <c r="BX10" s="1765">
        <v>0</v>
      </c>
      <c r="BY10" s="1765">
        <v>0</v>
      </c>
      <c r="BZ10" s="1765">
        <v>0</v>
      </c>
      <c r="CA10" s="1765">
        <v>0</v>
      </c>
      <c r="CB10" s="1765">
        <v>0</v>
      </c>
      <c r="CC10" s="1765">
        <v>0</v>
      </c>
      <c r="CD10" s="1765">
        <v>0</v>
      </c>
      <c r="CE10" s="1765">
        <v>0</v>
      </c>
      <c r="CF10" s="1765">
        <v>0</v>
      </c>
      <c r="CG10" s="1765">
        <v>0</v>
      </c>
      <c r="CH10" s="1765">
        <v>0</v>
      </c>
      <c r="CI10" s="1765">
        <v>0</v>
      </c>
      <c r="CJ10" s="1765">
        <v>0</v>
      </c>
      <c r="CK10" s="1765">
        <v>0</v>
      </c>
      <c r="CL10" s="1765">
        <v>0</v>
      </c>
      <c r="CM10" s="1765">
        <v>0</v>
      </c>
      <c r="CN10" s="1765">
        <v>0</v>
      </c>
      <c r="CO10" s="1765">
        <v>0</v>
      </c>
      <c r="CP10" s="1765">
        <v>0</v>
      </c>
    </row>
    <row r="11" spans="1:94" s="58" customFormat="1" ht="54.75" customHeight="1" thickBot="1" x14ac:dyDescent="0.25">
      <c r="A11" s="1857"/>
      <c r="B11" s="1852"/>
      <c r="C11" s="1274" t="s">
        <v>2541</v>
      </c>
      <c r="D11" s="1229"/>
      <c r="E11" s="1855"/>
      <c r="F11" s="1225"/>
      <c r="G11" s="1765">
        <v>0</v>
      </c>
      <c r="H11" s="1765">
        <v>0</v>
      </c>
      <c r="I11" s="1765">
        <v>0</v>
      </c>
      <c r="J11" s="1765">
        <v>0</v>
      </c>
      <c r="K11" s="1765">
        <v>0</v>
      </c>
      <c r="L11" s="1765">
        <v>0</v>
      </c>
      <c r="M11" s="1765">
        <v>0</v>
      </c>
      <c r="N11" s="1765">
        <v>0</v>
      </c>
      <c r="O11" s="1765">
        <v>0</v>
      </c>
      <c r="P11" s="1765">
        <v>0</v>
      </c>
      <c r="Q11" s="1765">
        <v>0</v>
      </c>
      <c r="R11" s="1765">
        <v>0</v>
      </c>
      <c r="S11" s="1765">
        <v>0</v>
      </c>
      <c r="T11" s="1765">
        <v>0</v>
      </c>
      <c r="U11" s="1765">
        <v>0</v>
      </c>
      <c r="V11" s="1765">
        <v>0</v>
      </c>
      <c r="W11" s="1765">
        <v>0</v>
      </c>
      <c r="X11" s="1765">
        <v>0</v>
      </c>
      <c r="Y11" s="1765">
        <v>0</v>
      </c>
      <c r="Z11" s="1765">
        <v>0</v>
      </c>
      <c r="AA11" s="1765">
        <v>0</v>
      </c>
      <c r="AB11" s="1765">
        <v>0</v>
      </c>
      <c r="AC11" s="1765">
        <v>0</v>
      </c>
      <c r="AD11" s="1765">
        <v>0</v>
      </c>
      <c r="AE11" s="1765">
        <v>0</v>
      </c>
      <c r="AF11" s="1765">
        <v>0</v>
      </c>
      <c r="AG11" s="1765">
        <v>0</v>
      </c>
      <c r="AH11" s="1765">
        <v>0</v>
      </c>
      <c r="AI11" s="1765">
        <v>0</v>
      </c>
      <c r="AJ11" s="1765">
        <v>0</v>
      </c>
      <c r="AK11" s="1765">
        <v>0</v>
      </c>
      <c r="AL11" s="1765">
        <v>0</v>
      </c>
      <c r="AM11" s="1765">
        <v>0</v>
      </c>
      <c r="AN11" s="1765">
        <v>0</v>
      </c>
      <c r="AO11" s="1765">
        <v>0</v>
      </c>
      <c r="AP11" s="1765">
        <v>0</v>
      </c>
      <c r="AQ11" s="1765">
        <v>0</v>
      </c>
      <c r="AR11" s="1765">
        <v>0</v>
      </c>
      <c r="AS11" s="1765">
        <v>0</v>
      </c>
      <c r="AT11" s="1765">
        <v>0</v>
      </c>
      <c r="AU11" s="1765">
        <v>0</v>
      </c>
      <c r="AV11" s="1765">
        <v>0</v>
      </c>
      <c r="AW11" s="1765">
        <v>0</v>
      </c>
      <c r="AX11" s="1765">
        <v>0</v>
      </c>
      <c r="AY11" s="1765">
        <v>0</v>
      </c>
      <c r="AZ11" s="1765">
        <v>0</v>
      </c>
      <c r="BA11" s="1765">
        <v>0</v>
      </c>
      <c r="BB11" s="1765">
        <v>0</v>
      </c>
      <c r="BC11" s="1765">
        <v>0</v>
      </c>
      <c r="BD11" s="1765">
        <v>0</v>
      </c>
      <c r="BE11" s="1765">
        <v>0</v>
      </c>
      <c r="BF11" s="1765">
        <v>0</v>
      </c>
      <c r="BG11" s="1765">
        <v>0</v>
      </c>
      <c r="BH11" s="1765">
        <v>0</v>
      </c>
      <c r="BI11" s="1765">
        <v>0</v>
      </c>
      <c r="BJ11" s="1765">
        <v>0</v>
      </c>
      <c r="BK11" s="1765">
        <v>0</v>
      </c>
      <c r="BL11" s="1765">
        <v>0</v>
      </c>
      <c r="BM11" s="1765">
        <v>0</v>
      </c>
      <c r="BN11" s="1765">
        <v>0</v>
      </c>
      <c r="BO11" s="1765">
        <v>0</v>
      </c>
      <c r="BP11" s="1765">
        <v>0</v>
      </c>
      <c r="BQ11" s="1765">
        <v>0</v>
      </c>
      <c r="BR11" s="1765">
        <v>0</v>
      </c>
      <c r="BS11" s="1765">
        <v>0</v>
      </c>
      <c r="BT11" s="1765">
        <v>0</v>
      </c>
      <c r="BU11" s="1765">
        <v>0</v>
      </c>
      <c r="BV11" s="1765">
        <v>0</v>
      </c>
      <c r="BW11" s="1765">
        <v>0</v>
      </c>
      <c r="BX11" s="1765">
        <v>0</v>
      </c>
      <c r="BY11" s="1765">
        <v>0</v>
      </c>
      <c r="BZ11" s="1765">
        <v>0</v>
      </c>
      <c r="CA11" s="1765">
        <v>0</v>
      </c>
      <c r="CB11" s="1765">
        <v>0</v>
      </c>
      <c r="CC11" s="1765">
        <v>0</v>
      </c>
      <c r="CD11" s="1765">
        <v>0</v>
      </c>
      <c r="CE11" s="1765">
        <v>0</v>
      </c>
      <c r="CF11" s="1765">
        <v>0</v>
      </c>
      <c r="CG11" s="1765">
        <v>0</v>
      </c>
      <c r="CH11" s="1765">
        <v>0</v>
      </c>
      <c r="CI11" s="1765">
        <v>0</v>
      </c>
      <c r="CJ11" s="1765">
        <v>0</v>
      </c>
      <c r="CK11" s="1765">
        <v>0</v>
      </c>
      <c r="CL11" s="1765">
        <v>0</v>
      </c>
      <c r="CM11" s="1765">
        <v>0</v>
      </c>
      <c r="CN11" s="1765">
        <v>0</v>
      </c>
      <c r="CO11" s="1765">
        <v>0</v>
      </c>
      <c r="CP11" s="1765">
        <v>0</v>
      </c>
    </row>
    <row r="12" spans="1:94" s="58" customFormat="1" ht="45" customHeight="1" thickBot="1" x14ac:dyDescent="0.25">
      <c r="A12" s="1856" t="s">
        <v>1277</v>
      </c>
      <c r="B12" s="1851" t="s">
        <v>627</v>
      </c>
      <c r="C12" s="1773" t="s">
        <v>2504</v>
      </c>
      <c r="D12" s="1230"/>
      <c r="E12" s="1856" t="s">
        <v>2068</v>
      </c>
      <c r="F12" s="1225"/>
      <c r="G12" s="1742"/>
      <c r="H12" s="1742"/>
      <c r="I12" s="1742"/>
      <c r="J12" s="1742"/>
      <c r="K12" s="1742"/>
      <c r="L12" s="1742"/>
      <c r="M12" s="1742"/>
      <c r="N12" s="1742"/>
      <c r="O12" s="1742"/>
      <c r="P12" s="1742"/>
      <c r="Q12" s="1742"/>
      <c r="R12" s="1742"/>
      <c r="S12" s="1742"/>
      <c r="T12" s="1742"/>
      <c r="U12" s="1742"/>
      <c r="V12" s="1742"/>
      <c r="W12" s="1742"/>
      <c r="X12" s="1742"/>
      <c r="Y12" s="1742"/>
      <c r="Z12" s="1742"/>
      <c r="AA12" s="1742"/>
      <c r="AB12" s="1742"/>
      <c r="AC12" s="1742"/>
      <c r="AD12" s="1742"/>
      <c r="AE12" s="1742"/>
      <c r="AF12" s="1742"/>
      <c r="AG12" s="1742"/>
      <c r="AH12" s="1742"/>
      <c r="AI12" s="1742"/>
      <c r="AJ12" s="1742"/>
      <c r="AK12" s="1742"/>
      <c r="AL12" s="1742"/>
      <c r="AM12" s="1742"/>
      <c r="AN12" s="1742"/>
      <c r="AO12" s="1742"/>
      <c r="AP12" s="1742"/>
      <c r="AQ12" s="1742"/>
      <c r="AR12" s="1742"/>
      <c r="AS12" s="1742"/>
      <c r="AT12" s="1742"/>
      <c r="AU12" s="1742"/>
      <c r="AV12" s="1742"/>
      <c r="AW12" s="1742"/>
      <c r="AX12" s="1742"/>
      <c r="AY12" s="1742"/>
      <c r="AZ12" s="1742"/>
      <c r="BA12" s="1742"/>
      <c r="BB12" s="1742"/>
      <c r="BC12" s="1742"/>
      <c r="BD12" s="1742"/>
      <c r="BE12" s="1742"/>
      <c r="BF12" s="1742"/>
      <c r="BG12" s="1742"/>
      <c r="BH12" s="1742"/>
      <c r="BI12" s="1742"/>
      <c r="BJ12" s="1742"/>
      <c r="BK12" s="1742"/>
      <c r="BL12" s="1742"/>
      <c r="BM12" s="1742"/>
      <c r="BN12" s="1742"/>
      <c r="BO12" s="1742"/>
      <c r="BP12" s="1742"/>
      <c r="BQ12" s="1742"/>
      <c r="BR12" s="1742"/>
      <c r="BS12" s="1742"/>
      <c r="BT12" s="1742"/>
      <c r="BU12" s="1742"/>
      <c r="BV12" s="1742"/>
      <c r="BW12" s="1742"/>
      <c r="BX12" s="1742"/>
      <c r="BY12" s="1742"/>
      <c r="BZ12" s="1742"/>
      <c r="CA12" s="1742"/>
      <c r="CB12" s="1742"/>
      <c r="CC12" s="1742"/>
      <c r="CD12" s="1742"/>
      <c r="CE12" s="1742"/>
      <c r="CF12" s="1742"/>
      <c r="CG12" s="1742"/>
      <c r="CH12" s="1742"/>
      <c r="CI12" s="1742"/>
      <c r="CJ12" s="1742"/>
      <c r="CK12" s="1742"/>
      <c r="CL12" s="1742"/>
      <c r="CM12" s="1742"/>
      <c r="CN12" s="1742"/>
      <c r="CO12" s="1742"/>
      <c r="CP12" s="1742"/>
    </row>
    <row r="13" spans="1:94" s="58" customFormat="1" ht="15" customHeight="1" x14ac:dyDescent="0.2">
      <c r="A13" s="1847"/>
      <c r="B13" s="1851"/>
      <c r="C13" s="858" t="s">
        <v>2243</v>
      </c>
      <c r="D13" s="1231"/>
      <c r="E13" s="1856"/>
      <c r="F13" s="1225"/>
      <c r="G13" s="1765">
        <v>0</v>
      </c>
      <c r="H13" s="1765">
        <v>0</v>
      </c>
      <c r="I13" s="1765">
        <v>0</v>
      </c>
      <c r="J13" s="1765">
        <v>0</v>
      </c>
      <c r="K13" s="1765">
        <v>0</v>
      </c>
      <c r="L13" s="1765">
        <v>0</v>
      </c>
      <c r="M13" s="1765">
        <v>0</v>
      </c>
      <c r="N13" s="1765">
        <v>0</v>
      </c>
      <c r="O13" s="1765">
        <v>0</v>
      </c>
      <c r="P13" s="1765">
        <v>0</v>
      </c>
      <c r="Q13" s="1765">
        <v>0</v>
      </c>
      <c r="R13" s="1765">
        <v>0</v>
      </c>
      <c r="S13" s="1765">
        <v>0</v>
      </c>
      <c r="T13" s="1765">
        <v>0</v>
      </c>
      <c r="U13" s="1765">
        <v>0</v>
      </c>
      <c r="V13" s="1765">
        <v>0</v>
      </c>
      <c r="W13" s="1765">
        <v>0</v>
      </c>
      <c r="X13" s="1765">
        <v>0</v>
      </c>
      <c r="Y13" s="1765">
        <v>0</v>
      </c>
      <c r="Z13" s="1765">
        <v>0</v>
      </c>
      <c r="AA13" s="1765">
        <v>0</v>
      </c>
      <c r="AB13" s="1765">
        <v>0</v>
      </c>
      <c r="AC13" s="1765">
        <v>0</v>
      </c>
      <c r="AD13" s="1765">
        <v>0</v>
      </c>
      <c r="AE13" s="1765">
        <v>0</v>
      </c>
      <c r="AF13" s="1765">
        <v>0</v>
      </c>
      <c r="AG13" s="1765">
        <v>0</v>
      </c>
      <c r="AH13" s="1765">
        <v>0</v>
      </c>
      <c r="AI13" s="1765">
        <v>0</v>
      </c>
      <c r="AJ13" s="1765">
        <v>0</v>
      </c>
      <c r="AK13" s="1765">
        <v>0</v>
      </c>
      <c r="AL13" s="1765">
        <v>0</v>
      </c>
      <c r="AM13" s="1765">
        <v>0</v>
      </c>
      <c r="AN13" s="1765">
        <v>0</v>
      </c>
      <c r="AO13" s="1765">
        <v>0</v>
      </c>
      <c r="AP13" s="1765">
        <v>0</v>
      </c>
      <c r="AQ13" s="1765">
        <v>0</v>
      </c>
      <c r="AR13" s="1765">
        <v>0</v>
      </c>
      <c r="AS13" s="1765">
        <v>0</v>
      </c>
      <c r="AT13" s="1765">
        <v>0</v>
      </c>
      <c r="AU13" s="1765">
        <v>0</v>
      </c>
      <c r="AV13" s="1765">
        <v>0</v>
      </c>
      <c r="AW13" s="1765">
        <v>0</v>
      </c>
      <c r="AX13" s="1765">
        <v>0</v>
      </c>
      <c r="AY13" s="1765">
        <v>0</v>
      </c>
      <c r="AZ13" s="1765">
        <v>0</v>
      </c>
      <c r="BA13" s="1765">
        <v>0</v>
      </c>
      <c r="BB13" s="1765">
        <v>0</v>
      </c>
      <c r="BC13" s="1765">
        <v>0</v>
      </c>
      <c r="BD13" s="1765">
        <v>0</v>
      </c>
      <c r="BE13" s="1765">
        <v>0</v>
      </c>
      <c r="BF13" s="1765">
        <v>0</v>
      </c>
      <c r="BG13" s="1765">
        <v>0</v>
      </c>
      <c r="BH13" s="1765">
        <v>0</v>
      </c>
      <c r="BI13" s="1765">
        <v>0</v>
      </c>
      <c r="BJ13" s="1765">
        <v>0</v>
      </c>
      <c r="BK13" s="1765">
        <v>0</v>
      </c>
      <c r="BL13" s="1765">
        <v>0</v>
      </c>
      <c r="BM13" s="1765">
        <v>0</v>
      </c>
      <c r="BN13" s="1765">
        <v>0</v>
      </c>
      <c r="BO13" s="1765">
        <v>0</v>
      </c>
      <c r="BP13" s="1765">
        <v>0</v>
      </c>
      <c r="BQ13" s="1765">
        <v>0</v>
      </c>
      <c r="BR13" s="1765">
        <v>0</v>
      </c>
      <c r="BS13" s="1765">
        <v>0</v>
      </c>
      <c r="BT13" s="1765">
        <v>0</v>
      </c>
      <c r="BU13" s="1765">
        <v>0</v>
      </c>
      <c r="BV13" s="1765">
        <v>0</v>
      </c>
      <c r="BW13" s="1765">
        <v>0</v>
      </c>
      <c r="BX13" s="1765">
        <v>0</v>
      </c>
      <c r="BY13" s="1765">
        <v>0</v>
      </c>
      <c r="BZ13" s="1765">
        <v>0</v>
      </c>
      <c r="CA13" s="1765">
        <v>0</v>
      </c>
      <c r="CB13" s="1765">
        <v>0</v>
      </c>
      <c r="CC13" s="1765">
        <v>0</v>
      </c>
      <c r="CD13" s="1765">
        <v>0</v>
      </c>
      <c r="CE13" s="1765">
        <v>0</v>
      </c>
      <c r="CF13" s="1765">
        <v>0</v>
      </c>
      <c r="CG13" s="1765">
        <v>0</v>
      </c>
      <c r="CH13" s="1765">
        <v>0</v>
      </c>
      <c r="CI13" s="1765">
        <v>0</v>
      </c>
      <c r="CJ13" s="1765">
        <v>0</v>
      </c>
      <c r="CK13" s="1765">
        <v>0</v>
      </c>
      <c r="CL13" s="1765">
        <v>0</v>
      </c>
      <c r="CM13" s="1765">
        <v>0</v>
      </c>
      <c r="CN13" s="1765">
        <v>0</v>
      </c>
      <c r="CO13" s="1765">
        <v>0</v>
      </c>
      <c r="CP13" s="1765">
        <v>0</v>
      </c>
    </row>
    <row r="14" spans="1:94" s="58" customFormat="1" ht="18" customHeight="1" x14ac:dyDescent="0.2">
      <c r="A14" s="1847"/>
      <c r="B14" s="1851"/>
      <c r="C14" s="1232" t="s">
        <v>2244</v>
      </c>
      <c r="D14" s="1231"/>
      <c r="E14" s="1856"/>
      <c r="F14" s="1225"/>
      <c r="G14" s="1765">
        <v>0</v>
      </c>
      <c r="H14" s="1765">
        <v>0</v>
      </c>
      <c r="I14" s="1765">
        <v>0</v>
      </c>
      <c r="J14" s="1765">
        <v>0</v>
      </c>
      <c r="K14" s="1765">
        <v>0</v>
      </c>
      <c r="L14" s="1765">
        <v>0</v>
      </c>
      <c r="M14" s="1765">
        <v>0</v>
      </c>
      <c r="N14" s="1765">
        <v>0</v>
      </c>
      <c r="O14" s="1765">
        <v>0</v>
      </c>
      <c r="P14" s="1765">
        <v>0</v>
      </c>
      <c r="Q14" s="1765">
        <v>0</v>
      </c>
      <c r="R14" s="1765">
        <v>0</v>
      </c>
      <c r="S14" s="1765">
        <v>0</v>
      </c>
      <c r="T14" s="1765">
        <v>0</v>
      </c>
      <c r="U14" s="1765">
        <v>0</v>
      </c>
      <c r="V14" s="1765">
        <v>0</v>
      </c>
      <c r="W14" s="1765">
        <v>0</v>
      </c>
      <c r="X14" s="1765">
        <v>0</v>
      </c>
      <c r="Y14" s="1765">
        <v>0</v>
      </c>
      <c r="Z14" s="1765">
        <v>0</v>
      </c>
      <c r="AA14" s="1765">
        <v>0</v>
      </c>
      <c r="AB14" s="1765">
        <v>0</v>
      </c>
      <c r="AC14" s="1765">
        <v>0</v>
      </c>
      <c r="AD14" s="1765">
        <v>0</v>
      </c>
      <c r="AE14" s="1765">
        <v>0</v>
      </c>
      <c r="AF14" s="1765">
        <v>0</v>
      </c>
      <c r="AG14" s="1765">
        <v>0</v>
      </c>
      <c r="AH14" s="1765">
        <v>0</v>
      </c>
      <c r="AI14" s="1765">
        <v>0</v>
      </c>
      <c r="AJ14" s="1765">
        <v>0</v>
      </c>
      <c r="AK14" s="1765">
        <v>0</v>
      </c>
      <c r="AL14" s="1765">
        <v>0</v>
      </c>
      <c r="AM14" s="1765">
        <v>0</v>
      </c>
      <c r="AN14" s="1765">
        <v>0</v>
      </c>
      <c r="AO14" s="1765">
        <v>0</v>
      </c>
      <c r="AP14" s="1765">
        <v>0</v>
      </c>
      <c r="AQ14" s="1765">
        <v>0</v>
      </c>
      <c r="AR14" s="1765">
        <v>0</v>
      </c>
      <c r="AS14" s="1765">
        <v>0</v>
      </c>
      <c r="AT14" s="1765">
        <v>0</v>
      </c>
      <c r="AU14" s="1765">
        <v>0</v>
      </c>
      <c r="AV14" s="1765">
        <v>0</v>
      </c>
      <c r="AW14" s="1765">
        <v>0</v>
      </c>
      <c r="AX14" s="1765">
        <v>0</v>
      </c>
      <c r="AY14" s="1765">
        <v>0</v>
      </c>
      <c r="AZ14" s="1765">
        <v>0</v>
      </c>
      <c r="BA14" s="1765">
        <v>0</v>
      </c>
      <c r="BB14" s="1765">
        <v>0</v>
      </c>
      <c r="BC14" s="1765">
        <v>0</v>
      </c>
      <c r="BD14" s="1765">
        <v>0</v>
      </c>
      <c r="BE14" s="1765">
        <v>0</v>
      </c>
      <c r="BF14" s="1765">
        <v>0</v>
      </c>
      <c r="BG14" s="1765">
        <v>0</v>
      </c>
      <c r="BH14" s="1765">
        <v>0</v>
      </c>
      <c r="BI14" s="1765">
        <v>0</v>
      </c>
      <c r="BJ14" s="1765">
        <v>0</v>
      </c>
      <c r="BK14" s="1765">
        <v>0</v>
      </c>
      <c r="BL14" s="1765">
        <v>0</v>
      </c>
      <c r="BM14" s="1765">
        <v>0</v>
      </c>
      <c r="BN14" s="1765">
        <v>0</v>
      </c>
      <c r="BO14" s="1765">
        <v>0</v>
      </c>
      <c r="BP14" s="1765">
        <v>0</v>
      </c>
      <c r="BQ14" s="1765">
        <v>0</v>
      </c>
      <c r="BR14" s="1765">
        <v>0</v>
      </c>
      <c r="BS14" s="1765">
        <v>0</v>
      </c>
      <c r="BT14" s="1765">
        <v>0</v>
      </c>
      <c r="BU14" s="1765">
        <v>0</v>
      </c>
      <c r="BV14" s="1765">
        <v>0</v>
      </c>
      <c r="BW14" s="1765">
        <v>0</v>
      </c>
      <c r="BX14" s="1765">
        <v>0</v>
      </c>
      <c r="BY14" s="1765">
        <v>0</v>
      </c>
      <c r="BZ14" s="1765">
        <v>0</v>
      </c>
      <c r="CA14" s="1765">
        <v>0</v>
      </c>
      <c r="CB14" s="1765">
        <v>0</v>
      </c>
      <c r="CC14" s="1765">
        <v>0</v>
      </c>
      <c r="CD14" s="1765">
        <v>0</v>
      </c>
      <c r="CE14" s="1765">
        <v>0</v>
      </c>
      <c r="CF14" s="1765">
        <v>0</v>
      </c>
      <c r="CG14" s="1765">
        <v>0</v>
      </c>
      <c r="CH14" s="1765">
        <v>0</v>
      </c>
      <c r="CI14" s="1765">
        <v>0</v>
      </c>
      <c r="CJ14" s="1765">
        <v>0</v>
      </c>
      <c r="CK14" s="1765">
        <v>0</v>
      </c>
      <c r="CL14" s="1765">
        <v>0</v>
      </c>
      <c r="CM14" s="1765">
        <v>0</v>
      </c>
      <c r="CN14" s="1765">
        <v>0</v>
      </c>
      <c r="CO14" s="1765">
        <v>0</v>
      </c>
      <c r="CP14" s="1765">
        <v>0</v>
      </c>
    </row>
    <row r="15" spans="1:94" s="58" customFormat="1" ht="15" customHeight="1" x14ac:dyDescent="0.2">
      <c r="A15" s="1847"/>
      <c r="B15" s="1851"/>
      <c r="C15" s="1233" t="s">
        <v>2246</v>
      </c>
      <c r="D15" s="1231"/>
      <c r="E15" s="1856"/>
      <c r="F15" s="1225"/>
      <c r="G15" s="1765">
        <v>0</v>
      </c>
      <c r="H15" s="1765">
        <v>0</v>
      </c>
      <c r="I15" s="1765">
        <v>0</v>
      </c>
      <c r="J15" s="1765">
        <v>0</v>
      </c>
      <c r="K15" s="1765">
        <v>0</v>
      </c>
      <c r="L15" s="1765">
        <v>0</v>
      </c>
      <c r="M15" s="1765">
        <v>0</v>
      </c>
      <c r="N15" s="1765">
        <v>0</v>
      </c>
      <c r="O15" s="1765">
        <v>0</v>
      </c>
      <c r="P15" s="1765">
        <v>0</v>
      </c>
      <c r="Q15" s="1765">
        <v>0</v>
      </c>
      <c r="R15" s="1765">
        <v>0</v>
      </c>
      <c r="S15" s="1765">
        <v>0</v>
      </c>
      <c r="T15" s="1765">
        <v>0</v>
      </c>
      <c r="U15" s="1765">
        <v>0</v>
      </c>
      <c r="V15" s="1765">
        <v>0</v>
      </c>
      <c r="W15" s="1765">
        <v>0</v>
      </c>
      <c r="X15" s="1765">
        <v>0</v>
      </c>
      <c r="Y15" s="1765">
        <v>0</v>
      </c>
      <c r="Z15" s="1765">
        <v>0</v>
      </c>
      <c r="AA15" s="1765">
        <v>0</v>
      </c>
      <c r="AB15" s="1765">
        <v>0</v>
      </c>
      <c r="AC15" s="1765">
        <v>0</v>
      </c>
      <c r="AD15" s="1765">
        <v>0</v>
      </c>
      <c r="AE15" s="1765">
        <v>0</v>
      </c>
      <c r="AF15" s="1765">
        <v>0</v>
      </c>
      <c r="AG15" s="1765">
        <v>0</v>
      </c>
      <c r="AH15" s="1765">
        <v>0</v>
      </c>
      <c r="AI15" s="1765">
        <v>0</v>
      </c>
      <c r="AJ15" s="1765">
        <v>0</v>
      </c>
      <c r="AK15" s="1765">
        <v>0</v>
      </c>
      <c r="AL15" s="1765">
        <v>0</v>
      </c>
      <c r="AM15" s="1765">
        <v>0</v>
      </c>
      <c r="AN15" s="1765">
        <v>0</v>
      </c>
      <c r="AO15" s="1765">
        <v>0</v>
      </c>
      <c r="AP15" s="1765">
        <v>0</v>
      </c>
      <c r="AQ15" s="1765">
        <v>0</v>
      </c>
      <c r="AR15" s="1765">
        <v>0</v>
      </c>
      <c r="AS15" s="1765">
        <v>0</v>
      </c>
      <c r="AT15" s="1765">
        <v>0</v>
      </c>
      <c r="AU15" s="1765">
        <v>0</v>
      </c>
      <c r="AV15" s="1765">
        <v>0</v>
      </c>
      <c r="AW15" s="1765">
        <v>0</v>
      </c>
      <c r="AX15" s="1765">
        <v>0</v>
      </c>
      <c r="AY15" s="1765">
        <v>0</v>
      </c>
      <c r="AZ15" s="1765">
        <v>0</v>
      </c>
      <c r="BA15" s="1765">
        <v>0</v>
      </c>
      <c r="BB15" s="1765">
        <v>0</v>
      </c>
      <c r="BC15" s="1765">
        <v>0</v>
      </c>
      <c r="BD15" s="1765">
        <v>0</v>
      </c>
      <c r="BE15" s="1765">
        <v>0</v>
      </c>
      <c r="BF15" s="1765">
        <v>0</v>
      </c>
      <c r="BG15" s="1765">
        <v>0</v>
      </c>
      <c r="BH15" s="1765">
        <v>0</v>
      </c>
      <c r="BI15" s="1765">
        <v>0</v>
      </c>
      <c r="BJ15" s="1765">
        <v>0</v>
      </c>
      <c r="BK15" s="1765">
        <v>0</v>
      </c>
      <c r="BL15" s="1765">
        <v>0</v>
      </c>
      <c r="BM15" s="1765">
        <v>0</v>
      </c>
      <c r="BN15" s="1765">
        <v>0</v>
      </c>
      <c r="BO15" s="1765">
        <v>0</v>
      </c>
      <c r="BP15" s="1765">
        <v>0</v>
      </c>
      <c r="BQ15" s="1765">
        <v>0</v>
      </c>
      <c r="BR15" s="1765">
        <v>0</v>
      </c>
      <c r="BS15" s="1765">
        <v>0</v>
      </c>
      <c r="BT15" s="1765">
        <v>0</v>
      </c>
      <c r="BU15" s="1765">
        <v>0</v>
      </c>
      <c r="BV15" s="1765">
        <v>0</v>
      </c>
      <c r="BW15" s="1765">
        <v>0</v>
      </c>
      <c r="BX15" s="1765">
        <v>0</v>
      </c>
      <c r="BY15" s="1765">
        <v>0</v>
      </c>
      <c r="BZ15" s="1765">
        <v>0</v>
      </c>
      <c r="CA15" s="1765">
        <v>0</v>
      </c>
      <c r="CB15" s="1765">
        <v>0</v>
      </c>
      <c r="CC15" s="1765">
        <v>0</v>
      </c>
      <c r="CD15" s="1765">
        <v>0</v>
      </c>
      <c r="CE15" s="1765">
        <v>0</v>
      </c>
      <c r="CF15" s="1765">
        <v>0</v>
      </c>
      <c r="CG15" s="1765">
        <v>0</v>
      </c>
      <c r="CH15" s="1765">
        <v>0</v>
      </c>
      <c r="CI15" s="1765">
        <v>0</v>
      </c>
      <c r="CJ15" s="1765">
        <v>0</v>
      </c>
      <c r="CK15" s="1765">
        <v>0</v>
      </c>
      <c r="CL15" s="1765">
        <v>0</v>
      </c>
      <c r="CM15" s="1765">
        <v>0</v>
      </c>
      <c r="CN15" s="1765">
        <v>0</v>
      </c>
      <c r="CO15" s="1765">
        <v>0</v>
      </c>
      <c r="CP15" s="1765">
        <v>0</v>
      </c>
    </row>
    <row r="16" spans="1:94" s="58" customFormat="1" ht="15" customHeight="1" x14ac:dyDescent="0.2">
      <c r="A16" s="1847"/>
      <c r="B16" s="1851"/>
      <c r="C16" s="1233" t="s">
        <v>2247</v>
      </c>
      <c r="D16" s="1231"/>
      <c r="E16" s="1856"/>
      <c r="F16" s="1225"/>
      <c r="G16" s="1765">
        <v>0</v>
      </c>
      <c r="H16" s="1765">
        <v>0</v>
      </c>
      <c r="I16" s="1765">
        <v>0</v>
      </c>
      <c r="J16" s="1765">
        <v>0</v>
      </c>
      <c r="K16" s="1765">
        <v>0</v>
      </c>
      <c r="L16" s="1765">
        <v>0</v>
      </c>
      <c r="M16" s="1765">
        <v>0</v>
      </c>
      <c r="N16" s="1765">
        <v>0</v>
      </c>
      <c r="O16" s="1765">
        <v>0</v>
      </c>
      <c r="P16" s="1765">
        <v>0</v>
      </c>
      <c r="Q16" s="1765">
        <v>0</v>
      </c>
      <c r="R16" s="1765">
        <v>0</v>
      </c>
      <c r="S16" s="1765">
        <v>0</v>
      </c>
      <c r="T16" s="1765">
        <v>0</v>
      </c>
      <c r="U16" s="1765">
        <v>0</v>
      </c>
      <c r="V16" s="1765">
        <v>0</v>
      </c>
      <c r="W16" s="1765">
        <v>0</v>
      </c>
      <c r="X16" s="1765">
        <v>0</v>
      </c>
      <c r="Y16" s="1765">
        <v>0</v>
      </c>
      <c r="Z16" s="1765">
        <v>0</v>
      </c>
      <c r="AA16" s="1765">
        <v>0</v>
      </c>
      <c r="AB16" s="1765">
        <v>0</v>
      </c>
      <c r="AC16" s="1765">
        <v>0</v>
      </c>
      <c r="AD16" s="1765">
        <v>0</v>
      </c>
      <c r="AE16" s="1765">
        <v>0</v>
      </c>
      <c r="AF16" s="1765">
        <v>0</v>
      </c>
      <c r="AG16" s="1765">
        <v>0</v>
      </c>
      <c r="AH16" s="1765">
        <v>0</v>
      </c>
      <c r="AI16" s="1765">
        <v>0</v>
      </c>
      <c r="AJ16" s="1765">
        <v>0</v>
      </c>
      <c r="AK16" s="1765">
        <v>0</v>
      </c>
      <c r="AL16" s="1765">
        <v>0</v>
      </c>
      <c r="AM16" s="1765">
        <v>0</v>
      </c>
      <c r="AN16" s="1765">
        <v>0</v>
      </c>
      <c r="AO16" s="1765">
        <v>0</v>
      </c>
      <c r="AP16" s="1765">
        <v>0</v>
      </c>
      <c r="AQ16" s="1765">
        <v>0</v>
      </c>
      <c r="AR16" s="1765">
        <v>0</v>
      </c>
      <c r="AS16" s="1765">
        <v>0</v>
      </c>
      <c r="AT16" s="1765">
        <v>0</v>
      </c>
      <c r="AU16" s="1765">
        <v>0</v>
      </c>
      <c r="AV16" s="1765">
        <v>0</v>
      </c>
      <c r="AW16" s="1765">
        <v>0</v>
      </c>
      <c r="AX16" s="1765">
        <v>0</v>
      </c>
      <c r="AY16" s="1765">
        <v>0</v>
      </c>
      <c r="AZ16" s="1765">
        <v>0</v>
      </c>
      <c r="BA16" s="1765">
        <v>0</v>
      </c>
      <c r="BB16" s="1765">
        <v>0</v>
      </c>
      <c r="BC16" s="1765">
        <v>0</v>
      </c>
      <c r="BD16" s="1765">
        <v>0</v>
      </c>
      <c r="BE16" s="1765">
        <v>0</v>
      </c>
      <c r="BF16" s="1765">
        <v>0</v>
      </c>
      <c r="BG16" s="1765">
        <v>0</v>
      </c>
      <c r="BH16" s="1765">
        <v>0</v>
      </c>
      <c r="BI16" s="1765">
        <v>0</v>
      </c>
      <c r="BJ16" s="1765">
        <v>0</v>
      </c>
      <c r="BK16" s="1765">
        <v>0</v>
      </c>
      <c r="BL16" s="1765">
        <v>0</v>
      </c>
      <c r="BM16" s="1765">
        <v>0</v>
      </c>
      <c r="BN16" s="1765">
        <v>0</v>
      </c>
      <c r="BO16" s="1765">
        <v>0</v>
      </c>
      <c r="BP16" s="1765">
        <v>0</v>
      </c>
      <c r="BQ16" s="1765">
        <v>0</v>
      </c>
      <c r="BR16" s="1765">
        <v>0</v>
      </c>
      <c r="BS16" s="1765">
        <v>0</v>
      </c>
      <c r="BT16" s="1765">
        <v>0</v>
      </c>
      <c r="BU16" s="1765">
        <v>0</v>
      </c>
      <c r="BV16" s="1765">
        <v>0</v>
      </c>
      <c r="BW16" s="1765">
        <v>0</v>
      </c>
      <c r="BX16" s="1765">
        <v>0</v>
      </c>
      <c r="BY16" s="1765">
        <v>0</v>
      </c>
      <c r="BZ16" s="1765">
        <v>0</v>
      </c>
      <c r="CA16" s="1765">
        <v>0</v>
      </c>
      <c r="CB16" s="1765">
        <v>0</v>
      </c>
      <c r="CC16" s="1765">
        <v>0</v>
      </c>
      <c r="CD16" s="1765">
        <v>0</v>
      </c>
      <c r="CE16" s="1765">
        <v>0</v>
      </c>
      <c r="CF16" s="1765">
        <v>0</v>
      </c>
      <c r="CG16" s="1765">
        <v>0</v>
      </c>
      <c r="CH16" s="1765">
        <v>0</v>
      </c>
      <c r="CI16" s="1765">
        <v>0</v>
      </c>
      <c r="CJ16" s="1765">
        <v>0</v>
      </c>
      <c r="CK16" s="1765">
        <v>0</v>
      </c>
      <c r="CL16" s="1765">
        <v>0</v>
      </c>
      <c r="CM16" s="1765">
        <v>0</v>
      </c>
      <c r="CN16" s="1765">
        <v>0</v>
      </c>
      <c r="CO16" s="1765">
        <v>0</v>
      </c>
      <c r="CP16" s="1765">
        <v>0</v>
      </c>
    </row>
    <row r="17" spans="1:94" s="58" customFormat="1" ht="15" customHeight="1" thickBot="1" x14ac:dyDescent="0.25">
      <c r="A17" s="1848"/>
      <c r="B17" s="1852"/>
      <c r="C17" s="960" t="s">
        <v>2245</v>
      </c>
      <c r="D17" s="1234"/>
      <c r="E17" s="1857"/>
      <c r="F17" s="1225"/>
      <c r="G17" s="1765">
        <v>0</v>
      </c>
      <c r="H17" s="1765">
        <v>0</v>
      </c>
      <c r="I17" s="1765">
        <v>0</v>
      </c>
      <c r="J17" s="1765">
        <v>0</v>
      </c>
      <c r="K17" s="1765">
        <v>0</v>
      </c>
      <c r="L17" s="1765">
        <v>0</v>
      </c>
      <c r="M17" s="1765">
        <v>0</v>
      </c>
      <c r="N17" s="1765">
        <v>0</v>
      </c>
      <c r="O17" s="1765">
        <v>0</v>
      </c>
      <c r="P17" s="1765">
        <v>0</v>
      </c>
      <c r="Q17" s="1765">
        <v>0</v>
      </c>
      <c r="R17" s="1765">
        <v>0</v>
      </c>
      <c r="S17" s="1765">
        <v>0</v>
      </c>
      <c r="T17" s="1765">
        <v>0</v>
      </c>
      <c r="U17" s="1765">
        <v>0</v>
      </c>
      <c r="V17" s="1765">
        <v>0</v>
      </c>
      <c r="W17" s="1765">
        <v>0</v>
      </c>
      <c r="X17" s="1765">
        <v>0</v>
      </c>
      <c r="Y17" s="1765">
        <v>0</v>
      </c>
      <c r="Z17" s="1765">
        <v>0</v>
      </c>
      <c r="AA17" s="1765">
        <v>0</v>
      </c>
      <c r="AB17" s="1765">
        <v>0</v>
      </c>
      <c r="AC17" s="1765">
        <v>0</v>
      </c>
      <c r="AD17" s="1765">
        <v>0</v>
      </c>
      <c r="AE17" s="1765">
        <v>0</v>
      </c>
      <c r="AF17" s="1765">
        <v>0</v>
      </c>
      <c r="AG17" s="1765">
        <v>0</v>
      </c>
      <c r="AH17" s="1765">
        <v>0</v>
      </c>
      <c r="AI17" s="1765">
        <v>0</v>
      </c>
      <c r="AJ17" s="1765">
        <v>0</v>
      </c>
      <c r="AK17" s="1765">
        <v>0</v>
      </c>
      <c r="AL17" s="1765">
        <v>0</v>
      </c>
      <c r="AM17" s="1765">
        <v>0</v>
      </c>
      <c r="AN17" s="1765">
        <v>0</v>
      </c>
      <c r="AO17" s="1765">
        <v>0</v>
      </c>
      <c r="AP17" s="1765">
        <v>0</v>
      </c>
      <c r="AQ17" s="1765">
        <v>0</v>
      </c>
      <c r="AR17" s="1765">
        <v>0</v>
      </c>
      <c r="AS17" s="1765">
        <v>0</v>
      </c>
      <c r="AT17" s="1765">
        <v>0</v>
      </c>
      <c r="AU17" s="1765">
        <v>0</v>
      </c>
      <c r="AV17" s="1765">
        <v>0</v>
      </c>
      <c r="AW17" s="1765">
        <v>0</v>
      </c>
      <c r="AX17" s="1765">
        <v>0</v>
      </c>
      <c r="AY17" s="1765">
        <v>0</v>
      </c>
      <c r="AZ17" s="1765">
        <v>0</v>
      </c>
      <c r="BA17" s="1765">
        <v>0</v>
      </c>
      <c r="BB17" s="1765">
        <v>0</v>
      </c>
      <c r="BC17" s="1765">
        <v>0</v>
      </c>
      <c r="BD17" s="1765">
        <v>0</v>
      </c>
      <c r="BE17" s="1765">
        <v>0</v>
      </c>
      <c r="BF17" s="1765">
        <v>0</v>
      </c>
      <c r="BG17" s="1765">
        <v>0</v>
      </c>
      <c r="BH17" s="1765">
        <v>0</v>
      </c>
      <c r="BI17" s="1765">
        <v>0</v>
      </c>
      <c r="BJ17" s="1765">
        <v>0</v>
      </c>
      <c r="BK17" s="1765">
        <v>0</v>
      </c>
      <c r="BL17" s="1765">
        <v>0</v>
      </c>
      <c r="BM17" s="1765">
        <v>0</v>
      </c>
      <c r="BN17" s="1765">
        <v>0</v>
      </c>
      <c r="BO17" s="1765">
        <v>0</v>
      </c>
      <c r="BP17" s="1765">
        <v>0</v>
      </c>
      <c r="BQ17" s="1765">
        <v>0</v>
      </c>
      <c r="BR17" s="1765">
        <v>0</v>
      </c>
      <c r="BS17" s="1765">
        <v>0</v>
      </c>
      <c r="BT17" s="1765">
        <v>0</v>
      </c>
      <c r="BU17" s="1765">
        <v>0</v>
      </c>
      <c r="BV17" s="1765">
        <v>0</v>
      </c>
      <c r="BW17" s="1765">
        <v>0</v>
      </c>
      <c r="BX17" s="1765">
        <v>0</v>
      </c>
      <c r="BY17" s="1765">
        <v>0</v>
      </c>
      <c r="BZ17" s="1765">
        <v>0</v>
      </c>
      <c r="CA17" s="1765">
        <v>0</v>
      </c>
      <c r="CB17" s="1765">
        <v>0</v>
      </c>
      <c r="CC17" s="1765">
        <v>0</v>
      </c>
      <c r="CD17" s="1765">
        <v>0</v>
      </c>
      <c r="CE17" s="1765">
        <v>0</v>
      </c>
      <c r="CF17" s="1765">
        <v>0</v>
      </c>
      <c r="CG17" s="1765">
        <v>0</v>
      </c>
      <c r="CH17" s="1765">
        <v>0</v>
      </c>
      <c r="CI17" s="1765">
        <v>0</v>
      </c>
      <c r="CJ17" s="1765">
        <v>0</v>
      </c>
      <c r="CK17" s="1765">
        <v>0</v>
      </c>
      <c r="CL17" s="1765">
        <v>0</v>
      </c>
      <c r="CM17" s="1765">
        <v>0</v>
      </c>
      <c r="CN17" s="1765">
        <v>0</v>
      </c>
      <c r="CO17" s="1765">
        <v>0</v>
      </c>
      <c r="CP17" s="1765">
        <v>0</v>
      </c>
    </row>
    <row r="18" spans="1:94" ht="41.25" customHeight="1" thickBot="1" x14ac:dyDescent="0.25">
      <c r="A18" s="1846" t="s">
        <v>1278</v>
      </c>
      <c r="B18" s="1846" t="s">
        <v>1948</v>
      </c>
      <c r="C18" s="1774" t="s">
        <v>2505</v>
      </c>
      <c r="D18" s="947"/>
      <c r="E18" s="1830" t="s">
        <v>2308</v>
      </c>
      <c r="F18" s="1225"/>
      <c r="G18" s="1742"/>
      <c r="H18" s="1742"/>
      <c r="I18" s="1742"/>
      <c r="J18" s="1742"/>
      <c r="K18" s="1742"/>
      <c r="L18" s="1742"/>
      <c r="M18" s="1742"/>
      <c r="N18" s="1742"/>
      <c r="O18" s="1742"/>
      <c r="P18" s="1742"/>
      <c r="Q18" s="1742"/>
      <c r="R18" s="1742"/>
      <c r="S18" s="1742"/>
      <c r="T18" s="1742"/>
      <c r="U18" s="1742"/>
      <c r="V18" s="1742"/>
      <c r="W18" s="1742"/>
      <c r="X18" s="1742"/>
      <c r="Y18" s="1742"/>
      <c r="Z18" s="1742"/>
      <c r="AA18" s="1742"/>
      <c r="AB18" s="1742"/>
      <c r="AC18" s="1742"/>
      <c r="AD18" s="1742"/>
      <c r="AE18" s="1742"/>
      <c r="AF18" s="1742"/>
      <c r="AG18" s="1742"/>
      <c r="AH18" s="1742"/>
      <c r="AI18" s="1742"/>
      <c r="AJ18" s="1742"/>
      <c r="AK18" s="1742"/>
      <c r="AL18" s="1742"/>
      <c r="AM18" s="1742"/>
      <c r="AN18" s="1742"/>
      <c r="AO18" s="1742"/>
      <c r="AP18" s="1742"/>
      <c r="AQ18" s="1742"/>
      <c r="AR18" s="1742"/>
      <c r="AS18" s="1742"/>
      <c r="AT18" s="1742"/>
      <c r="AU18" s="1742"/>
      <c r="AV18" s="1742"/>
      <c r="AW18" s="1742"/>
      <c r="AX18" s="1742"/>
      <c r="AY18" s="1742"/>
      <c r="AZ18" s="1742"/>
      <c r="BA18" s="1742"/>
      <c r="BB18" s="1742"/>
      <c r="BC18" s="1742"/>
      <c r="BD18" s="1742"/>
      <c r="BE18" s="1742"/>
      <c r="BF18" s="1742"/>
      <c r="BG18" s="1742"/>
      <c r="BH18" s="1742"/>
      <c r="BI18" s="1742"/>
      <c r="BJ18" s="1742"/>
      <c r="BK18" s="1742"/>
      <c r="BL18" s="1742"/>
      <c r="BM18" s="1742"/>
      <c r="BN18" s="1742"/>
      <c r="BO18" s="1742"/>
      <c r="BP18" s="1742"/>
      <c r="BQ18" s="1742"/>
      <c r="BR18" s="1742"/>
      <c r="BS18" s="1742"/>
      <c r="BT18" s="1742"/>
      <c r="BU18" s="1742"/>
      <c r="BV18" s="1742"/>
      <c r="BW18" s="1742"/>
      <c r="BX18" s="1742"/>
      <c r="BY18" s="1742"/>
      <c r="BZ18" s="1742"/>
      <c r="CA18" s="1742"/>
      <c r="CB18" s="1742"/>
      <c r="CC18" s="1742"/>
      <c r="CD18" s="1742"/>
      <c r="CE18" s="1742"/>
      <c r="CF18" s="1742"/>
      <c r="CG18" s="1742"/>
      <c r="CH18" s="1742"/>
      <c r="CI18" s="1742"/>
      <c r="CJ18" s="1742"/>
      <c r="CK18" s="1742"/>
      <c r="CL18" s="1742"/>
      <c r="CM18" s="1742"/>
      <c r="CN18" s="1742"/>
      <c r="CO18" s="1742"/>
      <c r="CP18" s="1742"/>
    </row>
    <row r="19" spans="1:94" ht="15" customHeight="1" x14ac:dyDescent="0.2">
      <c r="A19" s="1856"/>
      <c r="B19" s="1856"/>
      <c r="C19" s="652" t="s">
        <v>2074</v>
      </c>
      <c r="D19" s="936"/>
      <c r="E19" s="1831"/>
      <c r="F19" s="1225"/>
      <c r="G19" s="1767">
        <v>0</v>
      </c>
      <c r="H19" s="1767">
        <v>0</v>
      </c>
      <c r="I19" s="1767">
        <v>0</v>
      </c>
      <c r="J19" s="1767">
        <v>0</v>
      </c>
      <c r="K19" s="1767">
        <v>0</v>
      </c>
      <c r="L19" s="1767">
        <v>0</v>
      </c>
      <c r="M19" s="1767">
        <v>0</v>
      </c>
      <c r="N19" s="1767">
        <v>0</v>
      </c>
      <c r="O19" s="1767">
        <v>0</v>
      </c>
      <c r="P19" s="1767">
        <v>0</v>
      </c>
      <c r="Q19" s="1767">
        <v>0</v>
      </c>
      <c r="R19" s="1767">
        <v>0</v>
      </c>
      <c r="S19" s="1767">
        <v>0</v>
      </c>
      <c r="T19" s="1767">
        <v>0</v>
      </c>
      <c r="U19" s="1767">
        <v>0</v>
      </c>
      <c r="V19" s="1767">
        <v>0</v>
      </c>
      <c r="W19" s="1767">
        <v>0</v>
      </c>
      <c r="X19" s="1767">
        <v>0</v>
      </c>
      <c r="Y19" s="1767">
        <v>0</v>
      </c>
      <c r="Z19" s="1767">
        <v>0</v>
      </c>
      <c r="AA19" s="1767">
        <v>0</v>
      </c>
      <c r="AB19" s="1767">
        <v>0</v>
      </c>
      <c r="AC19" s="1767">
        <v>0</v>
      </c>
      <c r="AD19" s="1767">
        <v>0</v>
      </c>
      <c r="AE19" s="1767">
        <v>0</v>
      </c>
      <c r="AF19" s="1767">
        <v>0</v>
      </c>
      <c r="AG19" s="1767">
        <v>0</v>
      </c>
      <c r="AH19" s="1767">
        <v>0</v>
      </c>
      <c r="AI19" s="1767">
        <v>0</v>
      </c>
      <c r="AJ19" s="1767">
        <v>0</v>
      </c>
      <c r="AK19" s="1767">
        <v>0</v>
      </c>
      <c r="AL19" s="1767">
        <v>0</v>
      </c>
      <c r="AM19" s="1767">
        <v>0</v>
      </c>
      <c r="AN19" s="1767">
        <v>0</v>
      </c>
      <c r="AO19" s="1767">
        <v>0</v>
      </c>
      <c r="AP19" s="1767">
        <v>0</v>
      </c>
      <c r="AQ19" s="1767">
        <v>0</v>
      </c>
      <c r="AR19" s="1767">
        <v>0</v>
      </c>
      <c r="AS19" s="1767">
        <v>0</v>
      </c>
      <c r="AT19" s="1767">
        <v>0</v>
      </c>
      <c r="AU19" s="1767">
        <v>0</v>
      </c>
      <c r="AV19" s="1767">
        <v>0</v>
      </c>
      <c r="AW19" s="1767">
        <v>0</v>
      </c>
      <c r="AX19" s="1767">
        <v>0</v>
      </c>
      <c r="AY19" s="1767">
        <v>0</v>
      </c>
      <c r="AZ19" s="1767">
        <v>0</v>
      </c>
      <c r="BA19" s="1767">
        <v>0</v>
      </c>
      <c r="BB19" s="1767">
        <v>0</v>
      </c>
      <c r="BC19" s="1767">
        <v>0</v>
      </c>
      <c r="BD19" s="1767">
        <v>0</v>
      </c>
      <c r="BE19" s="1767">
        <v>0</v>
      </c>
      <c r="BF19" s="1767">
        <v>0</v>
      </c>
      <c r="BG19" s="1767">
        <v>0</v>
      </c>
      <c r="BH19" s="1767">
        <v>0</v>
      </c>
      <c r="BI19" s="1767">
        <v>0</v>
      </c>
      <c r="BJ19" s="1767">
        <v>0</v>
      </c>
      <c r="BK19" s="1767">
        <v>0</v>
      </c>
      <c r="BL19" s="1767">
        <v>0</v>
      </c>
      <c r="BM19" s="1767">
        <v>0</v>
      </c>
      <c r="BN19" s="1767">
        <v>0</v>
      </c>
      <c r="BO19" s="1767">
        <v>0</v>
      </c>
      <c r="BP19" s="1767">
        <v>0</v>
      </c>
      <c r="BQ19" s="1767">
        <v>0</v>
      </c>
      <c r="BR19" s="1767">
        <v>0</v>
      </c>
      <c r="BS19" s="1767">
        <v>0</v>
      </c>
      <c r="BT19" s="1767">
        <v>0</v>
      </c>
      <c r="BU19" s="1767">
        <v>0</v>
      </c>
      <c r="BV19" s="1767">
        <v>0</v>
      </c>
      <c r="BW19" s="1767">
        <v>0</v>
      </c>
      <c r="BX19" s="1767">
        <v>0</v>
      </c>
      <c r="BY19" s="1767">
        <v>0</v>
      </c>
      <c r="BZ19" s="1767">
        <v>0</v>
      </c>
      <c r="CA19" s="1767">
        <v>0</v>
      </c>
      <c r="CB19" s="1767">
        <v>0</v>
      </c>
      <c r="CC19" s="1767">
        <v>0</v>
      </c>
      <c r="CD19" s="1767">
        <v>0</v>
      </c>
      <c r="CE19" s="1767">
        <v>0</v>
      </c>
      <c r="CF19" s="1767">
        <v>0</v>
      </c>
      <c r="CG19" s="1767">
        <v>0</v>
      </c>
      <c r="CH19" s="1767">
        <v>0</v>
      </c>
      <c r="CI19" s="1767">
        <v>0</v>
      </c>
      <c r="CJ19" s="1767">
        <v>0</v>
      </c>
      <c r="CK19" s="1767">
        <v>0</v>
      </c>
      <c r="CL19" s="1767">
        <v>0</v>
      </c>
      <c r="CM19" s="1767">
        <v>0</v>
      </c>
      <c r="CN19" s="1767">
        <v>0</v>
      </c>
      <c r="CO19" s="1767">
        <v>0</v>
      </c>
      <c r="CP19" s="1767">
        <v>0</v>
      </c>
    </row>
    <row r="20" spans="1:94" ht="15" customHeight="1" x14ac:dyDescent="0.2">
      <c r="A20" s="1856"/>
      <c r="B20" s="1856"/>
      <c r="C20" s="652" t="s">
        <v>2075</v>
      </c>
      <c r="D20" s="936"/>
      <c r="E20" s="1831"/>
      <c r="F20" s="1225"/>
      <c r="G20" s="1767">
        <v>0</v>
      </c>
      <c r="H20" s="1767">
        <v>0</v>
      </c>
      <c r="I20" s="1767">
        <v>0</v>
      </c>
      <c r="J20" s="1767">
        <v>0</v>
      </c>
      <c r="K20" s="1767">
        <v>0</v>
      </c>
      <c r="L20" s="1767">
        <v>0</v>
      </c>
      <c r="M20" s="1767">
        <v>0</v>
      </c>
      <c r="N20" s="1767">
        <v>0</v>
      </c>
      <c r="O20" s="1767">
        <v>0</v>
      </c>
      <c r="P20" s="1767">
        <v>0</v>
      </c>
      <c r="Q20" s="1767">
        <v>0</v>
      </c>
      <c r="R20" s="1767">
        <v>0</v>
      </c>
      <c r="S20" s="1767">
        <v>0</v>
      </c>
      <c r="T20" s="1767">
        <v>0</v>
      </c>
      <c r="U20" s="1767">
        <v>0</v>
      </c>
      <c r="V20" s="1767">
        <v>0</v>
      </c>
      <c r="W20" s="1767">
        <v>0</v>
      </c>
      <c r="X20" s="1767">
        <v>0</v>
      </c>
      <c r="Y20" s="1767">
        <v>0</v>
      </c>
      <c r="Z20" s="1767">
        <v>0</v>
      </c>
      <c r="AA20" s="1767">
        <v>0</v>
      </c>
      <c r="AB20" s="1767">
        <v>0</v>
      </c>
      <c r="AC20" s="1767">
        <v>0</v>
      </c>
      <c r="AD20" s="1767">
        <v>0</v>
      </c>
      <c r="AE20" s="1767">
        <v>0</v>
      </c>
      <c r="AF20" s="1767">
        <v>0</v>
      </c>
      <c r="AG20" s="1767">
        <v>0</v>
      </c>
      <c r="AH20" s="1767">
        <v>0</v>
      </c>
      <c r="AI20" s="1767">
        <v>0</v>
      </c>
      <c r="AJ20" s="1767">
        <v>0</v>
      </c>
      <c r="AK20" s="1767">
        <v>0</v>
      </c>
      <c r="AL20" s="1767">
        <v>0</v>
      </c>
      <c r="AM20" s="1767">
        <v>0</v>
      </c>
      <c r="AN20" s="1767">
        <v>0</v>
      </c>
      <c r="AO20" s="1767">
        <v>0</v>
      </c>
      <c r="AP20" s="1767">
        <v>0</v>
      </c>
      <c r="AQ20" s="1767">
        <v>0</v>
      </c>
      <c r="AR20" s="1767">
        <v>0</v>
      </c>
      <c r="AS20" s="1767">
        <v>0</v>
      </c>
      <c r="AT20" s="1767">
        <v>0</v>
      </c>
      <c r="AU20" s="1767">
        <v>0</v>
      </c>
      <c r="AV20" s="1767">
        <v>0</v>
      </c>
      <c r="AW20" s="1767">
        <v>0</v>
      </c>
      <c r="AX20" s="1767">
        <v>0</v>
      </c>
      <c r="AY20" s="1767">
        <v>0</v>
      </c>
      <c r="AZ20" s="1767">
        <v>0</v>
      </c>
      <c r="BA20" s="1767">
        <v>0</v>
      </c>
      <c r="BB20" s="1767">
        <v>0</v>
      </c>
      <c r="BC20" s="1767">
        <v>0</v>
      </c>
      <c r="BD20" s="1767">
        <v>0</v>
      </c>
      <c r="BE20" s="1767">
        <v>0</v>
      </c>
      <c r="BF20" s="1767">
        <v>0</v>
      </c>
      <c r="BG20" s="1767">
        <v>0</v>
      </c>
      <c r="BH20" s="1767">
        <v>0</v>
      </c>
      <c r="BI20" s="1767">
        <v>0</v>
      </c>
      <c r="BJ20" s="1767">
        <v>0</v>
      </c>
      <c r="BK20" s="1767">
        <v>0</v>
      </c>
      <c r="BL20" s="1767">
        <v>0</v>
      </c>
      <c r="BM20" s="1767">
        <v>0</v>
      </c>
      <c r="BN20" s="1767">
        <v>0</v>
      </c>
      <c r="BO20" s="1767">
        <v>0</v>
      </c>
      <c r="BP20" s="1767">
        <v>0</v>
      </c>
      <c r="BQ20" s="1767">
        <v>0</v>
      </c>
      <c r="BR20" s="1767">
        <v>0</v>
      </c>
      <c r="BS20" s="1767">
        <v>0</v>
      </c>
      <c r="BT20" s="1767">
        <v>0</v>
      </c>
      <c r="BU20" s="1767">
        <v>0</v>
      </c>
      <c r="BV20" s="1767">
        <v>0</v>
      </c>
      <c r="BW20" s="1767">
        <v>0</v>
      </c>
      <c r="BX20" s="1767">
        <v>0</v>
      </c>
      <c r="BY20" s="1767">
        <v>0</v>
      </c>
      <c r="BZ20" s="1767">
        <v>0</v>
      </c>
      <c r="CA20" s="1767">
        <v>0</v>
      </c>
      <c r="CB20" s="1767">
        <v>0</v>
      </c>
      <c r="CC20" s="1767">
        <v>0</v>
      </c>
      <c r="CD20" s="1767">
        <v>0</v>
      </c>
      <c r="CE20" s="1767">
        <v>0</v>
      </c>
      <c r="CF20" s="1767">
        <v>0</v>
      </c>
      <c r="CG20" s="1767">
        <v>0</v>
      </c>
      <c r="CH20" s="1767">
        <v>0</v>
      </c>
      <c r="CI20" s="1767">
        <v>0</v>
      </c>
      <c r="CJ20" s="1767">
        <v>0</v>
      </c>
      <c r="CK20" s="1767">
        <v>0</v>
      </c>
      <c r="CL20" s="1767">
        <v>0</v>
      </c>
      <c r="CM20" s="1767">
        <v>0</v>
      </c>
      <c r="CN20" s="1767">
        <v>0</v>
      </c>
      <c r="CO20" s="1767">
        <v>0</v>
      </c>
      <c r="CP20" s="1767">
        <v>0</v>
      </c>
    </row>
    <row r="21" spans="1:94" ht="15" customHeight="1" x14ac:dyDescent="0.2">
      <c r="A21" s="1856"/>
      <c r="B21" s="1856"/>
      <c r="C21" s="653" t="s">
        <v>2309</v>
      </c>
      <c r="D21" s="936"/>
      <c r="E21" s="1831"/>
      <c r="F21" s="1225"/>
      <c r="G21" s="1767">
        <v>0</v>
      </c>
      <c r="H21" s="1767">
        <v>0</v>
      </c>
      <c r="I21" s="1767">
        <v>0</v>
      </c>
      <c r="J21" s="1767">
        <v>0</v>
      </c>
      <c r="K21" s="1767">
        <v>0</v>
      </c>
      <c r="L21" s="1767">
        <v>0</v>
      </c>
      <c r="M21" s="1767">
        <v>0</v>
      </c>
      <c r="N21" s="1767">
        <v>0</v>
      </c>
      <c r="O21" s="1767">
        <v>0</v>
      </c>
      <c r="P21" s="1767">
        <v>0</v>
      </c>
      <c r="Q21" s="1767">
        <v>0</v>
      </c>
      <c r="R21" s="1767">
        <v>0</v>
      </c>
      <c r="S21" s="1767">
        <v>0</v>
      </c>
      <c r="T21" s="1767">
        <v>0</v>
      </c>
      <c r="U21" s="1767">
        <v>0</v>
      </c>
      <c r="V21" s="1767">
        <v>0</v>
      </c>
      <c r="W21" s="1767">
        <v>0</v>
      </c>
      <c r="X21" s="1767">
        <v>0</v>
      </c>
      <c r="Y21" s="1767">
        <v>0</v>
      </c>
      <c r="Z21" s="1767">
        <v>0</v>
      </c>
      <c r="AA21" s="1767">
        <v>0</v>
      </c>
      <c r="AB21" s="1767">
        <v>0</v>
      </c>
      <c r="AC21" s="1767">
        <v>0</v>
      </c>
      <c r="AD21" s="1767">
        <v>0</v>
      </c>
      <c r="AE21" s="1767">
        <v>0</v>
      </c>
      <c r="AF21" s="1767">
        <v>0</v>
      </c>
      <c r="AG21" s="1767">
        <v>0</v>
      </c>
      <c r="AH21" s="1767">
        <v>0</v>
      </c>
      <c r="AI21" s="1767">
        <v>0</v>
      </c>
      <c r="AJ21" s="1767">
        <v>0</v>
      </c>
      <c r="AK21" s="1767">
        <v>0</v>
      </c>
      <c r="AL21" s="1767">
        <v>0</v>
      </c>
      <c r="AM21" s="1767">
        <v>0</v>
      </c>
      <c r="AN21" s="1767">
        <v>0</v>
      </c>
      <c r="AO21" s="1767">
        <v>0</v>
      </c>
      <c r="AP21" s="1767">
        <v>0</v>
      </c>
      <c r="AQ21" s="1767">
        <v>0</v>
      </c>
      <c r="AR21" s="1767">
        <v>0</v>
      </c>
      <c r="AS21" s="1767">
        <v>0</v>
      </c>
      <c r="AT21" s="1767">
        <v>0</v>
      </c>
      <c r="AU21" s="1767">
        <v>0</v>
      </c>
      <c r="AV21" s="1767">
        <v>0</v>
      </c>
      <c r="AW21" s="1767">
        <v>0</v>
      </c>
      <c r="AX21" s="1767">
        <v>0</v>
      </c>
      <c r="AY21" s="1767">
        <v>0</v>
      </c>
      <c r="AZ21" s="1767">
        <v>0</v>
      </c>
      <c r="BA21" s="1767">
        <v>0</v>
      </c>
      <c r="BB21" s="1767">
        <v>0</v>
      </c>
      <c r="BC21" s="1767">
        <v>0</v>
      </c>
      <c r="BD21" s="1767">
        <v>0</v>
      </c>
      <c r="BE21" s="1767">
        <v>0</v>
      </c>
      <c r="BF21" s="1767">
        <v>0</v>
      </c>
      <c r="BG21" s="1767">
        <v>0</v>
      </c>
      <c r="BH21" s="1767">
        <v>0</v>
      </c>
      <c r="BI21" s="1767">
        <v>0</v>
      </c>
      <c r="BJ21" s="1767">
        <v>0</v>
      </c>
      <c r="BK21" s="1767">
        <v>0</v>
      </c>
      <c r="BL21" s="1767">
        <v>0</v>
      </c>
      <c r="BM21" s="1767">
        <v>0</v>
      </c>
      <c r="BN21" s="1767">
        <v>0</v>
      </c>
      <c r="BO21" s="1767">
        <v>0</v>
      </c>
      <c r="BP21" s="1767">
        <v>0</v>
      </c>
      <c r="BQ21" s="1767">
        <v>0</v>
      </c>
      <c r="BR21" s="1767">
        <v>0</v>
      </c>
      <c r="BS21" s="1767">
        <v>0</v>
      </c>
      <c r="BT21" s="1767">
        <v>0</v>
      </c>
      <c r="BU21" s="1767">
        <v>0</v>
      </c>
      <c r="BV21" s="1767">
        <v>0</v>
      </c>
      <c r="BW21" s="1767">
        <v>0</v>
      </c>
      <c r="BX21" s="1767">
        <v>0</v>
      </c>
      <c r="BY21" s="1767">
        <v>0</v>
      </c>
      <c r="BZ21" s="1767">
        <v>0</v>
      </c>
      <c r="CA21" s="1767">
        <v>0</v>
      </c>
      <c r="CB21" s="1767">
        <v>0</v>
      </c>
      <c r="CC21" s="1767">
        <v>0</v>
      </c>
      <c r="CD21" s="1767">
        <v>0</v>
      </c>
      <c r="CE21" s="1767">
        <v>0</v>
      </c>
      <c r="CF21" s="1767">
        <v>0</v>
      </c>
      <c r="CG21" s="1767">
        <v>0</v>
      </c>
      <c r="CH21" s="1767">
        <v>0</v>
      </c>
      <c r="CI21" s="1767">
        <v>0</v>
      </c>
      <c r="CJ21" s="1767">
        <v>0</v>
      </c>
      <c r="CK21" s="1767">
        <v>0</v>
      </c>
      <c r="CL21" s="1767">
        <v>0</v>
      </c>
      <c r="CM21" s="1767">
        <v>0</v>
      </c>
      <c r="CN21" s="1767">
        <v>0</v>
      </c>
      <c r="CO21" s="1767">
        <v>0</v>
      </c>
      <c r="CP21" s="1767">
        <v>0</v>
      </c>
    </row>
    <row r="22" spans="1:94" ht="15" customHeight="1" x14ac:dyDescent="0.2">
      <c r="A22" s="1856"/>
      <c r="B22" s="1856"/>
      <c r="C22" s="652" t="s">
        <v>2076</v>
      </c>
      <c r="D22" s="936"/>
      <c r="E22" s="1831"/>
      <c r="F22" s="1225"/>
      <c r="G22" s="1767">
        <v>0</v>
      </c>
      <c r="H22" s="1767">
        <v>0</v>
      </c>
      <c r="I22" s="1767">
        <v>0</v>
      </c>
      <c r="J22" s="1767">
        <v>0</v>
      </c>
      <c r="K22" s="1767">
        <v>0</v>
      </c>
      <c r="L22" s="1767">
        <v>0</v>
      </c>
      <c r="M22" s="1767">
        <v>0</v>
      </c>
      <c r="N22" s="1767">
        <v>0</v>
      </c>
      <c r="O22" s="1767">
        <v>0</v>
      </c>
      <c r="P22" s="1767">
        <v>0</v>
      </c>
      <c r="Q22" s="1767">
        <v>0</v>
      </c>
      <c r="R22" s="1767">
        <v>0</v>
      </c>
      <c r="S22" s="1767">
        <v>0</v>
      </c>
      <c r="T22" s="1767">
        <v>0</v>
      </c>
      <c r="U22" s="1767">
        <v>0</v>
      </c>
      <c r="V22" s="1767">
        <v>0</v>
      </c>
      <c r="W22" s="1767">
        <v>0</v>
      </c>
      <c r="X22" s="1767">
        <v>0</v>
      </c>
      <c r="Y22" s="1767">
        <v>0</v>
      </c>
      <c r="Z22" s="1767">
        <v>0</v>
      </c>
      <c r="AA22" s="1767">
        <v>0</v>
      </c>
      <c r="AB22" s="1767">
        <v>0</v>
      </c>
      <c r="AC22" s="1767">
        <v>0</v>
      </c>
      <c r="AD22" s="1767">
        <v>0</v>
      </c>
      <c r="AE22" s="1767">
        <v>0</v>
      </c>
      <c r="AF22" s="1767">
        <v>0</v>
      </c>
      <c r="AG22" s="1767">
        <v>0</v>
      </c>
      <c r="AH22" s="1767">
        <v>0</v>
      </c>
      <c r="AI22" s="1767">
        <v>0</v>
      </c>
      <c r="AJ22" s="1767">
        <v>0</v>
      </c>
      <c r="AK22" s="1767">
        <v>0</v>
      </c>
      <c r="AL22" s="1767">
        <v>0</v>
      </c>
      <c r="AM22" s="1767">
        <v>0</v>
      </c>
      <c r="AN22" s="1767">
        <v>0</v>
      </c>
      <c r="AO22" s="1767">
        <v>0</v>
      </c>
      <c r="AP22" s="1767">
        <v>0</v>
      </c>
      <c r="AQ22" s="1767">
        <v>0</v>
      </c>
      <c r="AR22" s="1767">
        <v>0</v>
      </c>
      <c r="AS22" s="1767">
        <v>0</v>
      </c>
      <c r="AT22" s="1767">
        <v>0</v>
      </c>
      <c r="AU22" s="1767">
        <v>0</v>
      </c>
      <c r="AV22" s="1767">
        <v>0</v>
      </c>
      <c r="AW22" s="1767">
        <v>0</v>
      </c>
      <c r="AX22" s="1767">
        <v>0</v>
      </c>
      <c r="AY22" s="1767">
        <v>0</v>
      </c>
      <c r="AZ22" s="1767">
        <v>0</v>
      </c>
      <c r="BA22" s="1767">
        <v>0</v>
      </c>
      <c r="BB22" s="1767">
        <v>0</v>
      </c>
      <c r="BC22" s="1767">
        <v>0</v>
      </c>
      <c r="BD22" s="1767">
        <v>0</v>
      </c>
      <c r="BE22" s="1767">
        <v>0</v>
      </c>
      <c r="BF22" s="1767">
        <v>0</v>
      </c>
      <c r="BG22" s="1767">
        <v>0</v>
      </c>
      <c r="BH22" s="1767">
        <v>0</v>
      </c>
      <c r="BI22" s="1767">
        <v>0</v>
      </c>
      <c r="BJ22" s="1767">
        <v>0</v>
      </c>
      <c r="BK22" s="1767">
        <v>0</v>
      </c>
      <c r="BL22" s="1767">
        <v>0</v>
      </c>
      <c r="BM22" s="1767">
        <v>0</v>
      </c>
      <c r="BN22" s="1767">
        <v>0</v>
      </c>
      <c r="BO22" s="1767">
        <v>0</v>
      </c>
      <c r="BP22" s="1767">
        <v>0</v>
      </c>
      <c r="BQ22" s="1767">
        <v>0</v>
      </c>
      <c r="BR22" s="1767">
        <v>0</v>
      </c>
      <c r="BS22" s="1767">
        <v>0</v>
      </c>
      <c r="BT22" s="1767">
        <v>0</v>
      </c>
      <c r="BU22" s="1767">
        <v>0</v>
      </c>
      <c r="BV22" s="1767">
        <v>0</v>
      </c>
      <c r="BW22" s="1767">
        <v>0</v>
      </c>
      <c r="BX22" s="1767">
        <v>0</v>
      </c>
      <c r="BY22" s="1767">
        <v>0</v>
      </c>
      <c r="BZ22" s="1767">
        <v>0</v>
      </c>
      <c r="CA22" s="1767">
        <v>0</v>
      </c>
      <c r="CB22" s="1767">
        <v>0</v>
      </c>
      <c r="CC22" s="1767">
        <v>0</v>
      </c>
      <c r="CD22" s="1767">
        <v>0</v>
      </c>
      <c r="CE22" s="1767">
        <v>0</v>
      </c>
      <c r="CF22" s="1767">
        <v>0</v>
      </c>
      <c r="CG22" s="1767">
        <v>0</v>
      </c>
      <c r="CH22" s="1767">
        <v>0</v>
      </c>
      <c r="CI22" s="1767">
        <v>0</v>
      </c>
      <c r="CJ22" s="1767">
        <v>0</v>
      </c>
      <c r="CK22" s="1767">
        <v>0</v>
      </c>
      <c r="CL22" s="1767">
        <v>0</v>
      </c>
      <c r="CM22" s="1767">
        <v>0</v>
      </c>
      <c r="CN22" s="1767">
        <v>0</v>
      </c>
      <c r="CO22" s="1767">
        <v>0</v>
      </c>
      <c r="CP22" s="1767">
        <v>0</v>
      </c>
    </row>
    <row r="23" spans="1:94" ht="17.25" customHeight="1" x14ac:dyDescent="0.2">
      <c r="A23" s="1856"/>
      <c r="B23" s="1856"/>
      <c r="C23" s="653" t="s">
        <v>2310</v>
      </c>
      <c r="D23" s="936"/>
      <c r="E23" s="1831"/>
      <c r="F23" s="1225"/>
      <c r="G23" s="1767">
        <v>0</v>
      </c>
      <c r="H23" s="1767">
        <v>0</v>
      </c>
      <c r="I23" s="1767">
        <v>0</v>
      </c>
      <c r="J23" s="1767">
        <v>0</v>
      </c>
      <c r="K23" s="1767">
        <v>0</v>
      </c>
      <c r="L23" s="1767">
        <v>0</v>
      </c>
      <c r="M23" s="1767">
        <v>0</v>
      </c>
      <c r="N23" s="1767">
        <v>0</v>
      </c>
      <c r="O23" s="1767">
        <v>0</v>
      </c>
      <c r="P23" s="1767">
        <v>0</v>
      </c>
      <c r="Q23" s="1767">
        <v>0</v>
      </c>
      <c r="R23" s="1767">
        <v>0</v>
      </c>
      <c r="S23" s="1767">
        <v>0</v>
      </c>
      <c r="T23" s="1767">
        <v>0</v>
      </c>
      <c r="U23" s="1767">
        <v>0</v>
      </c>
      <c r="V23" s="1767">
        <v>0</v>
      </c>
      <c r="W23" s="1767">
        <v>0</v>
      </c>
      <c r="X23" s="1767">
        <v>0</v>
      </c>
      <c r="Y23" s="1767">
        <v>0</v>
      </c>
      <c r="Z23" s="1767">
        <v>0</v>
      </c>
      <c r="AA23" s="1767">
        <v>0</v>
      </c>
      <c r="AB23" s="1767">
        <v>0</v>
      </c>
      <c r="AC23" s="1767">
        <v>0</v>
      </c>
      <c r="AD23" s="1767">
        <v>0</v>
      </c>
      <c r="AE23" s="1767">
        <v>0</v>
      </c>
      <c r="AF23" s="1767">
        <v>0</v>
      </c>
      <c r="AG23" s="1767">
        <v>0</v>
      </c>
      <c r="AH23" s="1767">
        <v>0</v>
      </c>
      <c r="AI23" s="1767">
        <v>0</v>
      </c>
      <c r="AJ23" s="1767">
        <v>0</v>
      </c>
      <c r="AK23" s="1767">
        <v>0</v>
      </c>
      <c r="AL23" s="1767">
        <v>0</v>
      </c>
      <c r="AM23" s="1767">
        <v>0</v>
      </c>
      <c r="AN23" s="1767">
        <v>0</v>
      </c>
      <c r="AO23" s="1767">
        <v>0</v>
      </c>
      <c r="AP23" s="1767">
        <v>0</v>
      </c>
      <c r="AQ23" s="1767">
        <v>0</v>
      </c>
      <c r="AR23" s="1767">
        <v>0</v>
      </c>
      <c r="AS23" s="1767">
        <v>0</v>
      </c>
      <c r="AT23" s="1767">
        <v>0</v>
      </c>
      <c r="AU23" s="1767">
        <v>0</v>
      </c>
      <c r="AV23" s="1767">
        <v>0</v>
      </c>
      <c r="AW23" s="1767">
        <v>0</v>
      </c>
      <c r="AX23" s="1767">
        <v>0</v>
      </c>
      <c r="AY23" s="1767">
        <v>0</v>
      </c>
      <c r="AZ23" s="1767">
        <v>0</v>
      </c>
      <c r="BA23" s="1767">
        <v>0</v>
      </c>
      <c r="BB23" s="1767">
        <v>0</v>
      </c>
      <c r="BC23" s="1767">
        <v>0</v>
      </c>
      <c r="BD23" s="1767">
        <v>0</v>
      </c>
      <c r="BE23" s="1767">
        <v>0</v>
      </c>
      <c r="BF23" s="1767">
        <v>0</v>
      </c>
      <c r="BG23" s="1767">
        <v>0</v>
      </c>
      <c r="BH23" s="1767">
        <v>0</v>
      </c>
      <c r="BI23" s="1767">
        <v>0</v>
      </c>
      <c r="BJ23" s="1767">
        <v>0</v>
      </c>
      <c r="BK23" s="1767">
        <v>0</v>
      </c>
      <c r="BL23" s="1767">
        <v>0</v>
      </c>
      <c r="BM23" s="1767">
        <v>0</v>
      </c>
      <c r="BN23" s="1767">
        <v>0</v>
      </c>
      <c r="BO23" s="1767">
        <v>0</v>
      </c>
      <c r="BP23" s="1767">
        <v>0</v>
      </c>
      <c r="BQ23" s="1767">
        <v>0</v>
      </c>
      <c r="BR23" s="1767">
        <v>0</v>
      </c>
      <c r="BS23" s="1767">
        <v>0</v>
      </c>
      <c r="BT23" s="1767">
        <v>0</v>
      </c>
      <c r="BU23" s="1767">
        <v>0</v>
      </c>
      <c r="BV23" s="1767">
        <v>0</v>
      </c>
      <c r="BW23" s="1767">
        <v>0</v>
      </c>
      <c r="BX23" s="1767">
        <v>0</v>
      </c>
      <c r="BY23" s="1767">
        <v>0</v>
      </c>
      <c r="BZ23" s="1767">
        <v>0</v>
      </c>
      <c r="CA23" s="1767">
        <v>0</v>
      </c>
      <c r="CB23" s="1767">
        <v>0</v>
      </c>
      <c r="CC23" s="1767">
        <v>0</v>
      </c>
      <c r="CD23" s="1767">
        <v>0</v>
      </c>
      <c r="CE23" s="1767">
        <v>0</v>
      </c>
      <c r="CF23" s="1767">
        <v>0</v>
      </c>
      <c r="CG23" s="1767">
        <v>0</v>
      </c>
      <c r="CH23" s="1767">
        <v>0</v>
      </c>
      <c r="CI23" s="1767">
        <v>0</v>
      </c>
      <c r="CJ23" s="1767">
        <v>0</v>
      </c>
      <c r="CK23" s="1767">
        <v>0</v>
      </c>
      <c r="CL23" s="1767">
        <v>0</v>
      </c>
      <c r="CM23" s="1767">
        <v>0</v>
      </c>
      <c r="CN23" s="1767">
        <v>0</v>
      </c>
      <c r="CO23" s="1767">
        <v>0</v>
      </c>
      <c r="CP23" s="1767">
        <v>0</v>
      </c>
    </row>
    <row r="24" spans="1:94" ht="15" customHeight="1" thickBot="1" x14ac:dyDescent="0.25">
      <c r="A24" s="1857"/>
      <c r="B24" s="1857"/>
      <c r="C24" s="659" t="s">
        <v>2077</v>
      </c>
      <c r="D24" s="950"/>
      <c r="E24" s="1832"/>
      <c r="F24" s="1225"/>
      <c r="G24" s="1767">
        <v>0</v>
      </c>
      <c r="H24" s="1767">
        <v>0</v>
      </c>
      <c r="I24" s="1767">
        <v>0</v>
      </c>
      <c r="J24" s="1767">
        <v>0</v>
      </c>
      <c r="K24" s="1767">
        <v>0</v>
      </c>
      <c r="L24" s="1767">
        <v>0</v>
      </c>
      <c r="M24" s="1767">
        <v>0</v>
      </c>
      <c r="N24" s="1767">
        <v>0</v>
      </c>
      <c r="O24" s="1767">
        <v>0</v>
      </c>
      <c r="P24" s="1767">
        <v>0</v>
      </c>
      <c r="Q24" s="1767">
        <v>0</v>
      </c>
      <c r="R24" s="1767">
        <v>0</v>
      </c>
      <c r="S24" s="1767">
        <v>0</v>
      </c>
      <c r="T24" s="1767">
        <v>0</v>
      </c>
      <c r="U24" s="1767">
        <v>0</v>
      </c>
      <c r="V24" s="1767">
        <v>0</v>
      </c>
      <c r="W24" s="1767">
        <v>0</v>
      </c>
      <c r="X24" s="1767">
        <v>0</v>
      </c>
      <c r="Y24" s="1767">
        <v>0</v>
      </c>
      <c r="Z24" s="1767">
        <v>0</v>
      </c>
      <c r="AA24" s="1767">
        <v>0</v>
      </c>
      <c r="AB24" s="1767">
        <v>0</v>
      </c>
      <c r="AC24" s="1767">
        <v>0</v>
      </c>
      <c r="AD24" s="1767">
        <v>0</v>
      </c>
      <c r="AE24" s="1767">
        <v>0</v>
      </c>
      <c r="AF24" s="1767">
        <v>0</v>
      </c>
      <c r="AG24" s="1767">
        <v>0</v>
      </c>
      <c r="AH24" s="1767">
        <v>0</v>
      </c>
      <c r="AI24" s="1767">
        <v>0</v>
      </c>
      <c r="AJ24" s="1767">
        <v>0</v>
      </c>
      <c r="AK24" s="1767">
        <v>0</v>
      </c>
      <c r="AL24" s="1767">
        <v>0</v>
      </c>
      <c r="AM24" s="1767">
        <v>0</v>
      </c>
      <c r="AN24" s="1767">
        <v>0</v>
      </c>
      <c r="AO24" s="1767">
        <v>0</v>
      </c>
      <c r="AP24" s="1767">
        <v>0</v>
      </c>
      <c r="AQ24" s="1767">
        <v>0</v>
      </c>
      <c r="AR24" s="1767">
        <v>0</v>
      </c>
      <c r="AS24" s="1767">
        <v>0</v>
      </c>
      <c r="AT24" s="1767">
        <v>0</v>
      </c>
      <c r="AU24" s="1767">
        <v>0</v>
      </c>
      <c r="AV24" s="1767">
        <v>0</v>
      </c>
      <c r="AW24" s="1767">
        <v>0</v>
      </c>
      <c r="AX24" s="1767">
        <v>0</v>
      </c>
      <c r="AY24" s="1767">
        <v>0</v>
      </c>
      <c r="AZ24" s="1767">
        <v>0</v>
      </c>
      <c r="BA24" s="1767">
        <v>0</v>
      </c>
      <c r="BB24" s="1767">
        <v>0</v>
      </c>
      <c r="BC24" s="1767">
        <v>0</v>
      </c>
      <c r="BD24" s="1767">
        <v>0</v>
      </c>
      <c r="BE24" s="1767">
        <v>0</v>
      </c>
      <c r="BF24" s="1767">
        <v>0</v>
      </c>
      <c r="BG24" s="1767">
        <v>0</v>
      </c>
      <c r="BH24" s="1767">
        <v>0</v>
      </c>
      <c r="BI24" s="1767">
        <v>0</v>
      </c>
      <c r="BJ24" s="1767">
        <v>0</v>
      </c>
      <c r="BK24" s="1767">
        <v>0</v>
      </c>
      <c r="BL24" s="1767">
        <v>0</v>
      </c>
      <c r="BM24" s="1767">
        <v>0</v>
      </c>
      <c r="BN24" s="1767">
        <v>0</v>
      </c>
      <c r="BO24" s="1767">
        <v>0</v>
      </c>
      <c r="BP24" s="1767">
        <v>0</v>
      </c>
      <c r="BQ24" s="1767">
        <v>0</v>
      </c>
      <c r="BR24" s="1767">
        <v>0</v>
      </c>
      <c r="BS24" s="1767">
        <v>0</v>
      </c>
      <c r="BT24" s="1767">
        <v>0</v>
      </c>
      <c r="BU24" s="1767">
        <v>0</v>
      </c>
      <c r="BV24" s="1767">
        <v>0</v>
      </c>
      <c r="BW24" s="1767">
        <v>0</v>
      </c>
      <c r="BX24" s="1767">
        <v>0</v>
      </c>
      <c r="BY24" s="1767">
        <v>0</v>
      </c>
      <c r="BZ24" s="1767">
        <v>0</v>
      </c>
      <c r="CA24" s="1767">
        <v>0</v>
      </c>
      <c r="CB24" s="1767">
        <v>0</v>
      </c>
      <c r="CC24" s="1767">
        <v>0</v>
      </c>
      <c r="CD24" s="1767">
        <v>0</v>
      </c>
      <c r="CE24" s="1767">
        <v>0</v>
      </c>
      <c r="CF24" s="1767">
        <v>0</v>
      </c>
      <c r="CG24" s="1767">
        <v>0</v>
      </c>
      <c r="CH24" s="1767">
        <v>0</v>
      </c>
      <c r="CI24" s="1767">
        <v>0</v>
      </c>
      <c r="CJ24" s="1767">
        <v>0</v>
      </c>
      <c r="CK24" s="1767">
        <v>0</v>
      </c>
      <c r="CL24" s="1767">
        <v>0</v>
      </c>
      <c r="CM24" s="1767">
        <v>0</v>
      </c>
      <c r="CN24" s="1767">
        <v>0</v>
      </c>
      <c r="CO24" s="1767">
        <v>0</v>
      </c>
      <c r="CP24" s="1767">
        <v>0</v>
      </c>
    </row>
    <row r="25" spans="1:94" ht="30" customHeight="1" thickBot="1" x14ac:dyDescent="0.25">
      <c r="A25" s="1846" t="s">
        <v>1279</v>
      </c>
      <c r="B25" s="1856" t="s">
        <v>249</v>
      </c>
      <c r="C25" s="1775" t="s">
        <v>2506</v>
      </c>
      <c r="D25" s="946"/>
      <c r="E25" s="1894" t="s">
        <v>2311</v>
      </c>
      <c r="F25" s="1225"/>
      <c r="G25" s="1742"/>
      <c r="H25" s="1742"/>
      <c r="I25" s="1742"/>
      <c r="J25" s="1742"/>
      <c r="K25" s="1742"/>
      <c r="L25" s="1742"/>
      <c r="M25" s="1742"/>
      <c r="N25" s="1742"/>
      <c r="O25" s="1742"/>
      <c r="P25" s="1742"/>
      <c r="Q25" s="1742"/>
      <c r="R25" s="1742"/>
      <c r="S25" s="1742"/>
      <c r="T25" s="1742"/>
      <c r="U25" s="1742"/>
      <c r="V25" s="1742"/>
      <c r="W25" s="1742"/>
      <c r="X25" s="1742"/>
      <c r="Y25" s="1742"/>
      <c r="Z25" s="1742"/>
      <c r="AA25" s="1742"/>
      <c r="AB25" s="1742"/>
      <c r="AC25" s="1742"/>
      <c r="AD25" s="1742"/>
      <c r="AE25" s="1742"/>
      <c r="AF25" s="1742"/>
      <c r="AG25" s="1742"/>
      <c r="AH25" s="1742"/>
      <c r="AI25" s="1742"/>
      <c r="AJ25" s="1742"/>
      <c r="AK25" s="1742"/>
      <c r="AL25" s="1742"/>
      <c r="AM25" s="1742"/>
      <c r="AN25" s="1742"/>
      <c r="AO25" s="1742"/>
      <c r="AP25" s="1742"/>
      <c r="AQ25" s="1742"/>
      <c r="AR25" s="1742"/>
      <c r="AS25" s="1742"/>
      <c r="AT25" s="1742"/>
      <c r="AU25" s="1742"/>
      <c r="AV25" s="1742"/>
      <c r="AW25" s="1742"/>
      <c r="AX25" s="1742"/>
      <c r="AY25" s="1742"/>
      <c r="AZ25" s="1742"/>
      <c r="BA25" s="1742"/>
      <c r="BB25" s="1742"/>
      <c r="BC25" s="1742"/>
      <c r="BD25" s="1742"/>
      <c r="BE25" s="1742"/>
      <c r="BF25" s="1742"/>
      <c r="BG25" s="1742"/>
      <c r="BH25" s="1742"/>
      <c r="BI25" s="1742"/>
      <c r="BJ25" s="1742"/>
      <c r="BK25" s="1742"/>
      <c r="BL25" s="1742"/>
      <c r="BM25" s="1742"/>
      <c r="BN25" s="1742"/>
      <c r="BO25" s="1742"/>
      <c r="BP25" s="1742"/>
      <c r="BQ25" s="1742"/>
      <c r="BR25" s="1742"/>
      <c r="BS25" s="1742"/>
      <c r="BT25" s="1742"/>
      <c r="BU25" s="1742"/>
      <c r="BV25" s="1742"/>
      <c r="BW25" s="1742"/>
      <c r="BX25" s="1742"/>
      <c r="BY25" s="1742"/>
      <c r="BZ25" s="1742"/>
      <c r="CA25" s="1742"/>
      <c r="CB25" s="1742"/>
      <c r="CC25" s="1742"/>
      <c r="CD25" s="1742"/>
      <c r="CE25" s="1742"/>
      <c r="CF25" s="1742"/>
      <c r="CG25" s="1742"/>
      <c r="CH25" s="1742"/>
      <c r="CI25" s="1742"/>
      <c r="CJ25" s="1742"/>
      <c r="CK25" s="1742"/>
      <c r="CL25" s="1742"/>
      <c r="CM25" s="1742"/>
      <c r="CN25" s="1742"/>
      <c r="CO25" s="1742"/>
      <c r="CP25" s="1742"/>
    </row>
    <row r="26" spans="1:94" ht="15" customHeight="1" x14ac:dyDescent="0.2">
      <c r="A26" s="1847"/>
      <c r="B26" s="1856"/>
      <c r="C26" s="653" t="s">
        <v>2079</v>
      </c>
      <c r="D26" s="936"/>
      <c r="E26" s="1895"/>
      <c r="F26" s="1225"/>
      <c r="G26" s="1765">
        <v>0</v>
      </c>
      <c r="H26" s="1765">
        <v>0</v>
      </c>
      <c r="I26" s="1765">
        <v>0</v>
      </c>
      <c r="J26" s="1765">
        <v>0</v>
      </c>
      <c r="K26" s="1765">
        <v>0</v>
      </c>
      <c r="L26" s="1765">
        <v>0</v>
      </c>
      <c r="M26" s="1765">
        <v>0</v>
      </c>
      <c r="N26" s="1765">
        <v>0</v>
      </c>
      <c r="O26" s="1765">
        <v>0</v>
      </c>
      <c r="P26" s="1765">
        <v>0</v>
      </c>
      <c r="Q26" s="1765">
        <v>0</v>
      </c>
      <c r="R26" s="1765">
        <v>0</v>
      </c>
      <c r="S26" s="1765">
        <v>0</v>
      </c>
      <c r="T26" s="1765">
        <v>0</v>
      </c>
      <c r="U26" s="1765">
        <v>0</v>
      </c>
      <c r="V26" s="1765">
        <v>0</v>
      </c>
      <c r="W26" s="1765">
        <v>0</v>
      </c>
      <c r="X26" s="1765">
        <v>0</v>
      </c>
      <c r="Y26" s="1765">
        <v>0</v>
      </c>
      <c r="Z26" s="1765">
        <v>0</v>
      </c>
      <c r="AA26" s="1765">
        <v>0</v>
      </c>
      <c r="AB26" s="1765">
        <v>0</v>
      </c>
      <c r="AC26" s="1765">
        <v>0</v>
      </c>
      <c r="AD26" s="1765">
        <v>0</v>
      </c>
      <c r="AE26" s="1765">
        <v>0</v>
      </c>
      <c r="AF26" s="1765">
        <v>0</v>
      </c>
      <c r="AG26" s="1765">
        <v>0</v>
      </c>
      <c r="AH26" s="1765">
        <v>0</v>
      </c>
      <c r="AI26" s="1765">
        <v>0</v>
      </c>
      <c r="AJ26" s="1765">
        <v>0</v>
      </c>
      <c r="AK26" s="1765">
        <v>0</v>
      </c>
      <c r="AL26" s="1765">
        <v>0</v>
      </c>
      <c r="AM26" s="1765">
        <v>0</v>
      </c>
      <c r="AN26" s="1765">
        <v>0</v>
      </c>
      <c r="AO26" s="1765">
        <v>0</v>
      </c>
      <c r="AP26" s="1765">
        <v>0</v>
      </c>
      <c r="AQ26" s="1765">
        <v>0</v>
      </c>
      <c r="AR26" s="1765">
        <v>0</v>
      </c>
      <c r="AS26" s="1765">
        <v>0</v>
      </c>
      <c r="AT26" s="1765">
        <v>0</v>
      </c>
      <c r="AU26" s="1765">
        <v>0</v>
      </c>
      <c r="AV26" s="1765">
        <v>0</v>
      </c>
      <c r="AW26" s="1765">
        <v>0</v>
      </c>
      <c r="AX26" s="1765">
        <v>0</v>
      </c>
      <c r="AY26" s="1765">
        <v>0</v>
      </c>
      <c r="AZ26" s="1765">
        <v>0</v>
      </c>
      <c r="BA26" s="1765">
        <v>0</v>
      </c>
      <c r="BB26" s="1765">
        <v>0</v>
      </c>
      <c r="BC26" s="1765">
        <v>0</v>
      </c>
      <c r="BD26" s="1765">
        <v>0</v>
      </c>
      <c r="BE26" s="1765">
        <v>0</v>
      </c>
      <c r="BF26" s="1765">
        <v>0</v>
      </c>
      <c r="BG26" s="1765">
        <v>0</v>
      </c>
      <c r="BH26" s="1765">
        <v>0</v>
      </c>
      <c r="BI26" s="1765">
        <v>0</v>
      </c>
      <c r="BJ26" s="1765">
        <v>0</v>
      </c>
      <c r="BK26" s="1765">
        <v>0</v>
      </c>
      <c r="BL26" s="1765">
        <v>0</v>
      </c>
      <c r="BM26" s="1765">
        <v>0</v>
      </c>
      <c r="BN26" s="1765">
        <v>0</v>
      </c>
      <c r="BO26" s="1765">
        <v>0</v>
      </c>
      <c r="BP26" s="1765">
        <v>0</v>
      </c>
      <c r="BQ26" s="1765">
        <v>0</v>
      </c>
      <c r="BR26" s="1765">
        <v>0</v>
      </c>
      <c r="BS26" s="1765">
        <v>0</v>
      </c>
      <c r="BT26" s="1765">
        <v>0</v>
      </c>
      <c r="BU26" s="1765">
        <v>0</v>
      </c>
      <c r="BV26" s="1765">
        <v>0</v>
      </c>
      <c r="BW26" s="1765">
        <v>0</v>
      </c>
      <c r="BX26" s="1765">
        <v>0</v>
      </c>
      <c r="BY26" s="1765">
        <v>0</v>
      </c>
      <c r="BZ26" s="1765">
        <v>0</v>
      </c>
      <c r="CA26" s="1765">
        <v>0</v>
      </c>
      <c r="CB26" s="1765">
        <v>0</v>
      </c>
      <c r="CC26" s="1765">
        <v>0</v>
      </c>
      <c r="CD26" s="1765">
        <v>0</v>
      </c>
      <c r="CE26" s="1765">
        <v>0</v>
      </c>
      <c r="CF26" s="1765">
        <v>0</v>
      </c>
      <c r="CG26" s="1765">
        <v>0</v>
      </c>
      <c r="CH26" s="1765">
        <v>0</v>
      </c>
      <c r="CI26" s="1765">
        <v>0</v>
      </c>
      <c r="CJ26" s="1765">
        <v>0</v>
      </c>
      <c r="CK26" s="1765">
        <v>0</v>
      </c>
      <c r="CL26" s="1765">
        <v>0</v>
      </c>
      <c r="CM26" s="1765">
        <v>0</v>
      </c>
      <c r="CN26" s="1765">
        <v>0</v>
      </c>
      <c r="CO26" s="1765">
        <v>0</v>
      </c>
      <c r="CP26" s="1765">
        <v>0</v>
      </c>
    </row>
    <row r="27" spans="1:94" ht="15" customHeight="1" x14ac:dyDescent="0.2">
      <c r="A27" s="1847"/>
      <c r="B27" s="1856"/>
      <c r="C27" s="652" t="s">
        <v>2080</v>
      </c>
      <c r="D27" s="936"/>
      <c r="E27" s="1895"/>
      <c r="F27" s="1225"/>
      <c r="G27" s="1765">
        <v>0</v>
      </c>
      <c r="H27" s="1765">
        <v>0</v>
      </c>
      <c r="I27" s="1765">
        <v>0</v>
      </c>
      <c r="J27" s="1765">
        <v>0</v>
      </c>
      <c r="K27" s="1765">
        <v>0</v>
      </c>
      <c r="L27" s="1765">
        <v>0</v>
      </c>
      <c r="M27" s="1765">
        <v>0</v>
      </c>
      <c r="N27" s="1765">
        <v>0</v>
      </c>
      <c r="O27" s="1765">
        <v>0</v>
      </c>
      <c r="P27" s="1765">
        <v>0</v>
      </c>
      <c r="Q27" s="1765">
        <v>0</v>
      </c>
      <c r="R27" s="1765">
        <v>0</v>
      </c>
      <c r="S27" s="1765">
        <v>0</v>
      </c>
      <c r="T27" s="1765">
        <v>0</v>
      </c>
      <c r="U27" s="1765">
        <v>0</v>
      </c>
      <c r="V27" s="1765">
        <v>0</v>
      </c>
      <c r="W27" s="1765">
        <v>0</v>
      </c>
      <c r="X27" s="1765">
        <v>0</v>
      </c>
      <c r="Y27" s="1765">
        <v>0</v>
      </c>
      <c r="Z27" s="1765">
        <v>0</v>
      </c>
      <c r="AA27" s="1765">
        <v>0</v>
      </c>
      <c r="AB27" s="1765">
        <v>0</v>
      </c>
      <c r="AC27" s="1765">
        <v>0</v>
      </c>
      <c r="AD27" s="1765">
        <v>0</v>
      </c>
      <c r="AE27" s="1765">
        <v>0</v>
      </c>
      <c r="AF27" s="1765">
        <v>0</v>
      </c>
      <c r="AG27" s="1765">
        <v>0</v>
      </c>
      <c r="AH27" s="1765">
        <v>0</v>
      </c>
      <c r="AI27" s="1765">
        <v>0</v>
      </c>
      <c r="AJ27" s="1765">
        <v>0</v>
      </c>
      <c r="AK27" s="1765">
        <v>0</v>
      </c>
      <c r="AL27" s="1765">
        <v>0</v>
      </c>
      <c r="AM27" s="1765">
        <v>0</v>
      </c>
      <c r="AN27" s="1765">
        <v>0</v>
      </c>
      <c r="AO27" s="1765">
        <v>0</v>
      </c>
      <c r="AP27" s="1765">
        <v>0</v>
      </c>
      <c r="AQ27" s="1765">
        <v>0</v>
      </c>
      <c r="AR27" s="1765">
        <v>0</v>
      </c>
      <c r="AS27" s="1765">
        <v>0</v>
      </c>
      <c r="AT27" s="1765">
        <v>0</v>
      </c>
      <c r="AU27" s="1765">
        <v>0</v>
      </c>
      <c r="AV27" s="1765">
        <v>0</v>
      </c>
      <c r="AW27" s="1765">
        <v>0</v>
      </c>
      <c r="AX27" s="1765">
        <v>0</v>
      </c>
      <c r="AY27" s="1765">
        <v>0</v>
      </c>
      <c r="AZ27" s="1765">
        <v>0</v>
      </c>
      <c r="BA27" s="1765">
        <v>0</v>
      </c>
      <c r="BB27" s="1765">
        <v>0</v>
      </c>
      <c r="BC27" s="1765">
        <v>0</v>
      </c>
      <c r="BD27" s="1765">
        <v>0</v>
      </c>
      <c r="BE27" s="1765">
        <v>0</v>
      </c>
      <c r="BF27" s="1765">
        <v>0</v>
      </c>
      <c r="BG27" s="1765">
        <v>0</v>
      </c>
      <c r="BH27" s="1765">
        <v>0</v>
      </c>
      <c r="BI27" s="1765">
        <v>0</v>
      </c>
      <c r="BJ27" s="1765">
        <v>0</v>
      </c>
      <c r="BK27" s="1765">
        <v>0</v>
      </c>
      <c r="BL27" s="1765">
        <v>0</v>
      </c>
      <c r="BM27" s="1765">
        <v>0</v>
      </c>
      <c r="BN27" s="1765">
        <v>0</v>
      </c>
      <c r="BO27" s="1765">
        <v>0</v>
      </c>
      <c r="BP27" s="1765">
        <v>0</v>
      </c>
      <c r="BQ27" s="1765">
        <v>0</v>
      </c>
      <c r="BR27" s="1765">
        <v>0</v>
      </c>
      <c r="BS27" s="1765">
        <v>0</v>
      </c>
      <c r="BT27" s="1765">
        <v>0</v>
      </c>
      <c r="BU27" s="1765">
        <v>0</v>
      </c>
      <c r="BV27" s="1765">
        <v>0</v>
      </c>
      <c r="BW27" s="1765">
        <v>0</v>
      </c>
      <c r="BX27" s="1765">
        <v>0</v>
      </c>
      <c r="BY27" s="1765">
        <v>0</v>
      </c>
      <c r="BZ27" s="1765">
        <v>0</v>
      </c>
      <c r="CA27" s="1765">
        <v>0</v>
      </c>
      <c r="CB27" s="1765">
        <v>0</v>
      </c>
      <c r="CC27" s="1765">
        <v>0</v>
      </c>
      <c r="CD27" s="1765">
        <v>0</v>
      </c>
      <c r="CE27" s="1765">
        <v>0</v>
      </c>
      <c r="CF27" s="1765">
        <v>0</v>
      </c>
      <c r="CG27" s="1765">
        <v>0</v>
      </c>
      <c r="CH27" s="1765">
        <v>0</v>
      </c>
      <c r="CI27" s="1765">
        <v>0</v>
      </c>
      <c r="CJ27" s="1765">
        <v>0</v>
      </c>
      <c r="CK27" s="1765">
        <v>0</v>
      </c>
      <c r="CL27" s="1765">
        <v>0</v>
      </c>
      <c r="CM27" s="1765">
        <v>0</v>
      </c>
      <c r="CN27" s="1765">
        <v>0</v>
      </c>
      <c r="CO27" s="1765">
        <v>0</v>
      </c>
      <c r="CP27" s="1765">
        <v>0</v>
      </c>
    </row>
    <row r="28" spans="1:94" ht="15" customHeight="1" x14ac:dyDescent="0.2">
      <c r="A28" s="1847"/>
      <c r="B28" s="1856"/>
      <c r="C28" s="653" t="s">
        <v>2081</v>
      </c>
      <c r="D28" s="936"/>
      <c r="E28" s="1895"/>
      <c r="F28" s="1225"/>
      <c r="G28" s="1765">
        <v>0</v>
      </c>
      <c r="H28" s="1765">
        <v>0</v>
      </c>
      <c r="I28" s="1765">
        <v>0</v>
      </c>
      <c r="J28" s="1765">
        <v>0</v>
      </c>
      <c r="K28" s="1765">
        <v>0</v>
      </c>
      <c r="L28" s="1765">
        <v>0</v>
      </c>
      <c r="M28" s="1765">
        <v>0</v>
      </c>
      <c r="N28" s="1765">
        <v>0</v>
      </c>
      <c r="O28" s="1765">
        <v>0</v>
      </c>
      <c r="P28" s="1765">
        <v>0</v>
      </c>
      <c r="Q28" s="1765">
        <v>0</v>
      </c>
      <c r="R28" s="1765">
        <v>0</v>
      </c>
      <c r="S28" s="1765">
        <v>0</v>
      </c>
      <c r="T28" s="1765">
        <v>0</v>
      </c>
      <c r="U28" s="1765">
        <v>0</v>
      </c>
      <c r="V28" s="1765">
        <v>0</v>
      </c>
      <c r="W28" s="1765">
        <v>0</v>
      </c>
      <c r="X28" s="1765">
        <v>0</v>
      </c>
      <c r="Y28" s="1765">
        <v>0</v>
      </c>
      <c r="Z28" s="1765">
        <v>0</v>
      </c>
      <c r="AA28" s="1765">
        <v>0</v>
      </c>
      <c r="AB28" s="1765">
        <v>0</v>
      </c>
      <c r="AC28" s="1765">
        <v>0</v>
      </c>
      <c r="AD28" s="1765">
        <v>0</v>
      </c>
      <c r="AE28" s="1765">
        <v>0</v>
      </c>
      <c r="AF28" s="1765">
        <v>0</v>
      </c>
      <c r="AG28" s="1765">
        <v>0</v>
      </c>
      <c r="AH28" s="1765">
        <v>0</v>
      </c>
      <c r="AI28" s="1765">
        <v>0</v>
      </c>
      <c r="AJ28" s="1765">
        <v>0</v>
      </c>
      <c r="AK28" s="1765">
        <v>0</v>
      </c>
      <c r="AL28" s="1765">
        <v>0</v>
      </c>
      <c r="AM28" s="1765">
        <v>0</v>
      </c>
      <c r="AN28" s="1765">
        <v>0</v>
      </c>
      <c r="AO28" s="1765">
        <v>0</v>
      </c>
      <c r="AP28" s="1765">
        <v>0</v>
      </c>
      <c r="AQ28" s="1765">
        <v>0</v>
      </c>
      <c r="AR28" s="1765">
        <v>0</v>
      </c>
      <c r="AS28" s="1765">
        <v>0</v>
      </c>
      <c r="AT28" s="1765">
        <v>0</v>
      </c>
      <c r="AU28" s="1765">
        <v>0</v>
      </c>
      <c r="AV28" s="1765">
        <v>0</v>
      </c>
      <c r="AW28" s="1765">
        <v>0</v>
      </c>
      <c r="AX28" s="1765">
        <v>0</v>
      </c>
      <c r="AY28" s="1765">
        <v>0</v>
      </c>
      <c r="AZ28" s="1765">
        <v>0</v>
      </c>
      <c r="BA28" s="1765">
        <v>0</v>
      </c>
      <c r="BB28" s="1765">
        <v>0</v>
      </c>
      <c r="BC28" s="1765">
        <v>0</v>
      </c>
      <c r="BD28" s="1765">
        <v>0</v>
      </c>
      <c r="BE28" s="1765">
        <v>0</v>
      </c>
      <c r="BF28" s="1765">
        <v>0</v>
      </c>
      <c r="BG28" s="1765">
        <v>0</v>
      </c>
      <c r="BH28" s="1765">
        <v>0</v>
      </c>
      <c r="BI28" s="1765">
        <v>0</v>
      </c>
      <c r="BJ28" s="1765">
        <v>0</v>
      </c>
      <c r="BK28" s="1765">
        <v>0</v>
      </c>
      <c r="BL28" s="1765">
        <v>0</v>
      </c>
      <c r="BM28" s="1765">
        <v>0</v>
      </c>
      <c r="BN28" s="1765">
        <v>0</v>
      </c>
      <c r="BO28" s="1765">
        <v>0</v>
      </c>
      <c r="BP28" s="1765">
        <v>0</v>
      </c>
      <c r="BQ28" s="1765">
        <v>0</v>
      </c>
      <c r="BR28" s="1765">
        <v>0</v>
      </c>
      <c r="BS28" s="1765">
        <v>0</v>
      </c>
      <c r="BT28" s="1765">
        <v>0</v>
      </c>
      <c r="BU28" s="1765">
        <v>0</v>
      </c>
      <c r="BV28" s="1765">
        <v>0</v>
      </c>
      <c r="BW28" s="1765">
        <v>0</v>
      </c>
      <c r="BX28" s="1765">
        <v>0</v>
      </c>
      <c r="BY28" s="1765">
        <v>0</v>
      </c>
      <c r="BZ28" s="1765">
        <v>0</v>
      </c>
      <c r="CA28" s="1765">
        <v>0</v>
      </c>
      <c r="CB28" s="1765">
        <v>0</v>
      </c>
      <c r="CC28" s="1765">
        <v>0</v>
      </c>
      <c r="CD28" s="1765">
        <v>0</v>
      </c>
      <c r="CE28" s="1765">
        <v>0</v>
      </c>
      <c r="CF28" s="1765">
        <v>0</v>
      </c>
      <c r="CG28" s="1765">
        <v>0</v>
      </c>
      <c r="CH28" s="1765">
        <v>0</v>
      </c>
      <c r="CI28" s="1765">
        <v>0</v>
      </c>
      <c r="CJ28" s="1765">
        <v>0</v>
      </c>
      <c r="CK28" s="1765">
        <v>0</v>
      </c>
      <c r="CL28" s="1765">
        <v>0</v>
      </c>
      <c r="CM28" s="1765">
        <v>0</v>
      </c>
      <c r="CN28" s="1765">
        <v>0</v>
      </c>
      <c r="CO28" s="1765">
        <v>0</v>
      </c>
      <c r="CP28" s="1765">
        <v>0</v>
      </c>
    </row>
    <row r="29" spans="1:94" ht="15" customHeight="1" x14ac:dyDescent="0.2">
      <c r="A29" s="1847"/>
      <c r="B29" s="1856"/>
      <c r="C29" s="653" t="s">
        <v>2082</v>
      </c>
      <c r="D29" s="936"/>
      <c r="E29" s="1895"/>
      <c r="F29" s="1225"/>
      <c r="G29" s="1765">
        <v>0</v>
      </c>
      <c r="H29" s="1765">
        <v>0</v>
      </c>
      <c r="I29" s="1765">
        <v>0</v>
      </c>
      <c r="J29" s="1765">
        <v>0</v>
      </c>
      <c r="K29" s="1765">
        <v>0</v>
      </c>
      <c r="L29" s="1765">
        <v>0</v>
      </c>
      <c r="M29" s="1765">
        <v>0</v>
      </c>
      <c r="N29" s="1765">
        <v>0</v>
      </c>
      <c r="O29" s="1765">
        <v>0</v>
      </c>
      <c r="P29" s="1765">
        <v>0</v>
      </c>
      <c r="Q29" s="1765">
        <v>0</v>
      </c>
      <c r="R29" s="1765">
        <v>0</v>
      </c>
      <c r="S29" s="1765">
        <v>0</v>
      </c>
      <c r="T29" s="1765">
        <v>0</v>
      </c>
      <c r="U29" s="1765">
        <v>0</v>
      </c>
      <c r="V29" s="1765">
        <v>0</v>
      </c>
      <c r="W29" s="1765">
        <v>0</v>
      </c>
      <c r="X29" s="1765">
        <v>0</v>
      </c>
      <c r="Y29" s="1765">
        <v>0</v>
      </c>
      <c r="Z29" s="1765">
        <v>0</v>
      </c>
      <c r="AA29" s="1765">
        <v>0</v>
      </c>
      <c r="AB29" s="1765">
        <v>0</v>
      </c>
      <c r="AC29" s="1765">
        <v>0</v>
      </c>
      <c r="AD29" s="1765">
        <v>0</v>
      </c>
      <c r="AE29" s="1765">
        <v>0</v>
      </c>
      <c r="AF29" s="1765">
        <v>0</v>
      </c>
      <c r="AG29" s="1765">
        <v>0</v>
      </c>
      <c r="AH29" s="1765">
        <v>0</v>
      </c>
      <c r="AI29" s="1765">
        <v>0</v>
      </c>
      <c r="AJ29" s="1765">
        <v>0</v>
      </c>
      <c r="AK29" s="1765">
        <v>0</v>
      </c>
      <c r="AL29" s="1765">
        <v>0</v>
      </c>
      <c r="AM29" s="1765">
        <v>0</v>
      </c>
      <c r="AN29" s="1765">
        <v>0</v>
      </c>
      <c r="AO29" s="1765">
        <v>0</v>
      </c>
      <c r="AP29" s="1765">
        <v>0</v>
      </c>
      <c r="AQ29" s="1765">
        <v>0</v>
      </c>
      <c r="AR29" s="1765">
        <v>0</v>
      </c>
      <c r="AS29" s="1765">
        <v>0</v>
      </c>
      <c r="AT29" s="1765">
        <v>0</v>
      </c>
      <c r="AU29" s="1765">
        <v>0</v>
      </c>
      <c r="AV29" s="1765">
        <v>0</v>
      </c>
      <c r="AW29" s="1765">
        <v>0</v>
      </c>
      <c r="AX29" s="1765">
        <v>0</v>
      </c>
      <c r="AY29" s="1765">
        <v>0</v>
      </c>
      <c r="AZ29" s="1765">
        <v>0</v>
      </c>
      <c r="BA29" s="1765">
        <v>0</v>
      </c>
      <c r="BB29" s="1765">
        <v>0</v>
      </c>
      <c r="BC29" s="1765">
        <v>0</v>
      </c>
      <c r="BD29" s="1765">
        <v>0</v>
      </c>
      <c r="BE29" s="1765">
        <v>0</v>
      </c>
      <c r="BF29" s="1765">
        <v>0</v>
      </c>
      <c r="BG29" s="1765">
        <v>0</v>
      </c>
      <c r="BH29" s="1765">
        <v>0</v>
      </c>
      <c r="BI29" s="1765">
        <v>0</v>
      </c>
      <c r="BJ29" s="1765">
        <v>0</v>
      </c>
      <c r="BK29" s="1765">
        <v>0</v>
      </c>
      <c r="BL29" s="1765">
        <v>0</v>
      </c>
      <c r="BM29" s="1765">
        <v>0</v>
      </c>
      <c r="BN29" s="1765">
        <v>0</v>
      </c>
      <c r="BO29" s="1765">
        <v>0</v>
      </c>
      <c r="BP29" s="1765">
        <v>0</v>
      </c>
      <c r="BQ29" s="1765">
        <v>0</v>
      </c>
      <c r="BR29" s="1765">
        <v>0</v>
      </c>
      <c r="BS29" s="1765">
        <v>0</v>
      </c>
      <c r="BT29" s="1765">
        <v>0</v>
      </c>
      <c r="BU29" s="1765">
        <v>0</v>
      </c>
      <c r="BV29" s="1765">
        <v>0</v>
      </c>
      <c r="BW29" s="1765">
        <v>0</v>
      </c>
      <c r="BX29" s="1765">
        <v>0</v>
      </c>
      <c r="BY29" s="1765">
        <v>0</v>
      </c>
      <c r="BZ29" s="1765">
        <v>0</v>
      </c>
      <c r="CA29" s="1765">
        <v>0</v>
      </c>
      <c r="CB29" s="1765">
        <v>0</v>
      </c>
      <c r="CC29" s="1765">
        <v>0</v>
      </c>
      <c r="CD29" s="1765">
        <v>0</v>
      </c>
      <c r="CE29" s="1765">
        <v>0</v>
      </c>
      <c r="CF29" s="1765">
        <v>0</v>
      </c>
      <c r="CG29" s="1765">
        <v>0</v>
      </c>
      <c r="CH29" s="1765">
        <v>0</v>
      </c>
      <c r="CI29" s="1765">
        <v>0</v>
      </c>
      <c r="CJ29" s="1765">
        <v>0</v>
      </c>
      <c r="CK29" s="1765">
        <v>0</v>
      </c>
      <c r="CL29" s="1765">
        <v>0</v>
      </c>
      <c r="CM29" s="1765">
        <v>0</v>
      </c>
      <c r="CN29" s="1765">
        <v>0</v>
      </c>
      <c r="CO29" s="1765">
        <v>0</v>
      </c>
      <c r="CP29" s="1765">
        <v>0</v>
      </c>
    </row>
    <row r="30" spans="1:94" ht="15" customHeight="1" x14ac:dyDescent="0.2">
      <c r="A30" s="1847"/>
      <c r="B30" s="1856"/>
      <c r="C30" s="653" t="s">
        <v>2083</v>
      </c>
      <c r="D30" s="936"/>
      <c r="E30" s="1895"/>
      <c r="F30" s="1225"/>
      <c r="G30" s="1765">
        <v>0</v>
      </c>
      <c r="H30" s="1765">
        <v>0</v>
      </c>
      <c r="I30" s="1765">
        <v>0</v>
      </c>
      <c r="J30" s="1765">
        <v>0</v>
      </c>
      <c r="K30" s="1765">
        <v>0</v>
      </c>
      <c r="L30" s="1765">
        <v>0</v>
      </c>
      <c r="M30" s="1765">
        <v>0</v>
      </c>
      <c r="N30" s="1765">
        <v>0</v>
      </c>
      <c r="O30" s="1765">
        <v>0</v>
      </c>
      <c r="P30" s="1765">
        <v>0</v>
      </c>
      <c r="Q30" s="1765">
        <v>0</v>
      </c>
      <c r="R30" s="1765">
        <v>0</v>
      </c>
      <c r="S30" s="1765">
        <v>0</v>
      </c>
      <c r="T30" s="1765">
        <v>0</v>
      </c>
      <c r="U30" s="1765">
        <v>0</v>
      </c>
      <c r="V30" s="1765">
        <v>0</v>
      </c>
      <c r="W30" s="1765">
        <v>0</v>
      </c>
      <c r="X30" s="1765">
        <v>0</v>
      </c>
      <c r="Y30" s="1765">
        <v>0</v>
      </c>
      <c r="Z30" s="1765">
        <v>0</v>
      </c>
      <c r="AA30" s="1765">
        <v>0</v>
      </c>
      <c r="AB30" s="1765">
        <v>0</v>
      </c>
      <c r="AC30" s="1765">
        <v>0</v>
      </c>
      <c r="AD30" s="1765">
        <v>0</v>
      </c>
      <c r="AE30" s="1765">
        <v>0</v>
      </c>
      <c r="AF30" s="1765">
        <v>0</v>
      </c>
      <c r="AG30" s="1765">
        <v>0</v>
      </c>
      <c r="AH30" s="1765">
        <v>0</v>
      </c>
      <c r="AI30" s="1765">
        <v>0</v>
      </c>
      <c r="AJ30" s="1765">
        <v>0</v>
      </c>
      <c r="AK30" s="1765">
        <v>0</v>
      </c>
      <c r="AL30" s="1765">
        <v>0</v>
      </c>
      <c r="AM30" s="1765">
        <v>0</v>
      </c>
      <c r="AN30" s="1765">
        <v>0</v>
      </c>
      <c r="AO30" s="1765">
        <v>0</v>
      </c>
      <c r="AP30" s="1765">
        <v>0</v>
      </c>
      <c r="AQ30" s="1765">
        <v>0</v>
      </c>
      <c r="AR30" s="1765">
        <v>0</v>
      </c>
      <c r="AS30" s="1765">
        <v>0</v>
      </c>
      <c r="AT30" s="1765">
        <v>0</v>
      </c>
      <c r="AU30" s="1765">
        <v>0</v>
      </c>
      <c r="AV30" s="1765">
        <v>0</v>
      </c>
      <c r="AW30" s="1765">
        <v>0</v>
      </c>
      <c r="AX30" s="1765">
        <v>0</v>
      </c>
      <c r="AY30" s="1765">
        <v>0</v>
      </c>
      <c r="AZ30" s="1765">
        <v>0</v>
      </c>
      <c r="BA30" s="1765">
        <v>0</v>
      </c>
      <c r="BB30" s="1765">
        <v>0</v>
      </c>
      <c r="BC30" s="1765">
        <v>0</v>
      </c>
      <c r="BD30" s="1765">
        <v>0</v>
      </c>
      <c r="BE30" s="1765">
        <v>0</v>
      </c>
      <c r="BF30" s="1765">
        <v>0</v>
      </c>
      <c r="BG30" s="1765">
        <v>0</v>
      </c>
      <c r="BH30" s="1765">
        <v>0</v>
      </c>
      <c r="BI30" s="1765">
        <v>0</v>
      </c>
      <c r="BJ30" s="1765">
        <v>0</v>
      </c>
      <c r="BK30" s="1765">
        <v>0</v>
      </c>
      <c r="BL30" s="1765">
        <v>0</v>
      </c>
      <c r="BM30" s="1765">
        <v>0</v>
      </c>
      <c r="BN30" s="1765">
        <v>0</v>
      </c>
      <c r="BO30" s="1765">
        <v>0</v>
      </c>
      <c r="BP30" s="1765">
        <v>0</v>
      </c>
      <c r="BQ30" s="1765">
        <v>0</v>
      </c>
      <c r="BR30" s="1765">
        <v>0</v>
      </c>
      <c r="BS30" s="1765">
        <v>0</v>
      </c>
      <c r="BT30" s="1765">
        <v>0</v>
      </c>
      <c r="BU30" s="1765">
        <v>0</v>
      </c>
      <c r="BV30" s="1765">
        <v>0</v>
      </c>
      <c r="BW30" s="1765">
        <v>0</v>
      </c>
      <c r="BX30" s="1765">
        <v>0</v>
      </c>
      <c r="BY30" s="1765">
        <v>0</v>
      </c>
      <c r="BZ30" s="1765">
        <v>0</v>
      </c>
      <c r="CA30" s="1765">
        <v>0</v>
      </c>
      <c r="CB30" s="1765">
        <v>0</v>
      </c>
      <c r="CC30" s="1765">
        <v>0</v>
      </c>
      <c r="CD30" s="1765">
        <v>0</v>
      </c>
      <c r="CE30" s="1765">
        <v>0</v>
      </c>
      <c r="CF30" s="1765">
        <v>0</v>
      </c>
      <c r="CG30" s="1765">
        <v>0</v>
      </c>
      <c r="CH30" s="1765">
        <v>0</v>
      </c>
      <c r="CI30" s="1765">
        <v>0</v>
      </c>
      <c r="CJ30" s="1765">
        <v>0</v>
      </c>
      <c r="CK30" s="1765">
        <v>0</v>
      </c>
      <c r="CL30" s="1765">
        <v>0</v>
      </c>
      <c r="CM30" s="1765">
        <v>0</v>
      </c>
      <c r="CN30" s="1765">
        <v>0</v>
      </c>
      <c r="CO30" s="1765">
        <v>0</v>
      </c>
      <c r="CP30" s="1765">
        <v>0</v>
      </c>
    </row>
    <row r="31" spans="1:94" ht="15" customHeight="1" x14ac:dyDescent="0.2">
      <c r="A31" s="1847"/>
      <c r="B31" s="1856"/>
      <c r="C31" s="653" t="s">
        <v>2084</v>
      </c>
      <c r="D31" s="936"/>
      <c r="E31" s="1895"/>
      <c r="F31" s="1225"/>
      <c r="G31" s="1765">
        <v>0</v>
      </c>
      <c r="H31" s="1765">
        <v>0</v>
      </c>
      <c r="I31" s="1765">
        <v>0</v>
      </c>
      <c r="J31" s="1765">
        <v>0</v>
      </c>
      <c r="K31" s="1765">
        <v>0</v>
      </c>
      <c r="L31" s="1765">
        <v>0</v>
      </c>
      <c r="M31" s="1765">
        <v>0</v>
      </c>
      <c r="N31" s="1765">
        <v>0</v>
      </c>
      <c r="O31" s="1765">
        <v>0</v>
      </c>
      <c r="P31" s="1765">
        <v>0</v>
      </c>
      <c r="Q31" s="1765">
        <v>0</v>
      </c>
      <c r="R31" s="1765">
        <v>0</v>
      </c>
      <c r="S31" s="1765">
        <v>0</v>
      </c>
      <c r="T31" s="1765">
        <v>0</v>
      </c>
      <c r="U31" s="1765">
        <v>0</v>
      </c>
      <c r="V31" s="1765">
        <v>0</v>
      </c>
      <c r="W31" s="1765">
        <v>0</v>
      </c>
      <c r="X31" s="1765">
        <v>0</v>
      </c>
      <c r="Y31" s="1765">
        <v>0</v>
      </c>
      <c r="Z31" s="1765">
        <v>0</v>
      </c>
      <c r="AA31" s="1765">
        <v>0</v>
      </c>
      <c r="AB31" s="1765">
        <v>0</v>
      </c>
      <c r="AC31" s="1765">
        <v>0</v>
      </c>
      <c r="AD31" s="1765">
        <v>0</v>
      </c>
      <c r="AE31" s="1765">
        <v>0</v>
      </c>
      <c r="AF31" s="1765">
        <v>0</v>
      </c>
      <c r="AG31" s="1765">
        <v>0</v>
      </c>
      <c r="AH31" s="1765">
        <v>0</v>
      </c>
      <c r="AI31" s="1765">
        <v>0</v>
      </c>
      <c r="AJ31" s="1765">
        <v>0</v>
      </c>
      <c r="AK31" s="1765">
        <v>0</v>
      </c>
      <c r="AL31" s="1765">
        <v>0</v>
      </c>
      <c r="AM31" s="1765">
        <v>0</v>
      </c>
      <c r="AN31" s="1765">
        <v>0</v>
      </c>
      <c r="AO31" s="1765">
        <v>0</v>
      </c>
      <c r="AP31" s="1765">
        <v>0</v>
      </c>
      <c r="AQ31" s="1765">
        <v>0</v>
      </c>
      <c r="AR31" s="1765">
        <v>0</v>
      </c>
      <c r="AS31" s="1765">
        <v>0</v>
      </c>
      <c r="AT31" s="1765">
        <v>0</v>
      </c>
      <c r="AU31" s="1765">
        <v>0</v>
      </c>
      <c r="AV31" s="1765">
        <v>0</v>
      </c>
      <c r="AW31" s="1765">
        <v>0</v>
      </c>
      <c r="AX31" s="1765">
        <v>0</v>
      </c>
      <c r="AY31" s="1765">
        <v>0</v>
      </c>
      <c r="AZ31" s="1765">
        <v>0</v>
      </c>
      <c r="BA31" s="1765">
        <v>0</v>
      </c>
      <c r="BB31" s="1765">
        <v>0</v>
      </c>
      <c r="BC31" s="1765">
        <v>0</v>
      </c>
      <c r="BD31" s="1765">
        <v>0</v>
      </c>
      <c r="BE31" s="1765">
        <v>0</v>
      </c>
      <c r="BF31" s="1765">
        <v>0</v>
      </c>
      <c r="BG31" s="1765">
        <v>0</v>
      </c>
      <c r="BH31" s="1765">
        <v>0</v>
      </c>
      <c r="BI31" s="1765">
        <v>0</v>
      </c>
      <c r="BJ31" s="1765">
        <v>0</v>
      </c>
      <c r="BK31" s="1765">
        <v>0</v>
      </c>
      <c r="BL31" s="1765">
        <v>0</v>
      </c>
      <c r="BM31" s="1765">
        <v>0</v>
      </c>
      <c r="BN31" s="1765">
        <v>0</v>
      </c>
      <c r="BO31" s="1765">
        <v>0</v>
      </c>
      <c r="BP31" s="1765">
        <v>0</v>
      </c>
      <c r="BQ31" s="1765">
        <v>0</v>
      </c>
      <c r="BR31" s="1765">
        <v>0</v>
      </c>
      <c r="BS31" s="1765">
        <v>0</v>
      </c>
      <c r="BT31" s="1765">
        <v>0</v>
      </c>
      <c r="BU31" s="1765">
        <v>0</v>
      </c>
      <c r="BV31" s="1765">
        <v>0</v>
      </c>
      <c r="BW31" s="1765">
        <v>0</v>
      </c>
      <c r="BX31" s="1765">
        <v>0</v>
      </c>
      <c r="BY31" s="1765">
        <v>0</v>
      </c>
      <c r="BZ31" s="1765">
        <v>0</v>
      </c>
      <c r="CA31" s="1765">
        <v>0</v>
      </c>
      <c r="CB31" s="1765">
        <v>0</v>
      </c>
      <c r="CC31" s="1765">
        <v>0</v>
      </c>
      <c r="CD31" s="1765">
        <v>0</v>
      </c>
      <c r="CE31" s="1765">
        <v>0</v>
      </c>
      <c r="CF31" s="1765">
        <v>0</v>
      </c>
      <c r="CG31" s="1765">
        <v>0</v>
      </c>
      <c r="CH31" s="1765">
        <v>0</v>
      </c>
      <c r="CI31" s="1765">
        <v>0</v>
      </c>
      <c r="CJ31" s="1765">
        <v>0</v>
      </c>
      <c r="CK31" s="1765">
        <v>0</v>
      </c>
      <c r="CL31" s="1765">
        <v>0</v>
      </c>
      <c r="CM31" s="1765">
        <v>0</v>
      </c>
      <c r="CN31" s="1765">
        <v>0</v>
      </c>
      <c r="CO31" s="1765">
        <v>0</v>
      </c>
      <c r="CP31" s="1765">
        <v>0</v>
      </c>
    </row>
    <row r="32" spans="1:94" ht="15" customHeight="1" x14ac:dyDescent="0.2">
      <c r="A32" s="1847"/>
      <c r="B32" s="1856"/>
      <c r="C32" s="653" t="s">
        <v>2085</v>
      </c>
      <c r="D32" s="936"/>
      <c r="E32" s="1895"/>
      <c r="F32" s="1225"/>
      <c r="G32" s="1765">
        <v>0</v>
      </c>
      <c r="H32" s="1765">
        <v>0</v>
      </c>
      <c r="I32" s="1765">
        <v>0</v>
      </c>
      <c r="J32" s="1765">
        <v>0</v>
      </c>
      <c r="K32" s="1765">
        <v>0</v>
      </c>
      <c r="L32" s="1765">
        <v>0</v>
      </c>
      <c r="M32" s="1765">
        <v>0</v>
      </c>
      <c r="N32" s="1765">
        <v>0</v>
      </c>
      <c r="O32" s="1765">
        <v>0</v>
      </c>
      <c r="P32" s="1765">
        <v>0</v>
      </c>
      <c r="Q32" s="1765">
        <v>0</v>
      </c>
      <c r="R32" s="1765">
        <v>0</v>
      </c>
      <c r="S32" s="1765">
        <v>0</v>
      </c>
      <c r="T32" s="1765">
        <v>0</v>
      </c>
      <c r="U32" s="1765">
        <v>0</v>
      </c>
      <c r="V32" s="1765">
        <v>0</v>
      </c>
      <c r="W32" s="1765">
        <v>0</v>
      </c>
      <c r="X32" s="1765">
        <v>0</v>
      </c>
      <c r="Y32" s="1765">
        <v>0</v>
      </c>
      <c r="Z32" s="1765">
        <v>0</v>
      </c>
      <c r="AA32" s="1765">
        <v>0</v>
      </c>
      <c r="AB32" s="1765">
        <v>0</v>
      </c>
      <c r="AC32" s="1765">
        <v>0</v>
      </c>
      <c r="AD32" s="1765">
        <v>0</v>
      </c>
      <c r="AE32" s="1765">
        <v>0</v>
      </c>
      <c r="AF32" s="1765">
        <v>0</v>
      </c>
      <c r="AG32" s="1765">
        <v>0</v>
      </c>
      <c r="AH32" s="1765">
        <v>0</v>
      </c>
      <c r="AI32" s="1765">
        <v>0</v>
      </c>
      <c r="AJ32" s="1765">
        <v>0</v>
      </c>
      <c r="AK32" s="1765">
        <v>0</v>
      </c>
      <c r="AL32" s="1765">
        <v>0</v>
      </c>
      <c r="AM32" s="1765">
        <v>0</v>
      </c>
      <c r="AN32" s="1765">
        <v>0</v>
      </c>
      <c r="AO32" s="1765">
        <v>0</v>
      </c>
      <c r="AP32" s="1765">
        <v>0</v>
      </c>
      <c r="AQ32" s="1765">
        <v>0</v>
      </c>
      <c r="AR32" s="1765">
        <v>0</v>
      </c>
      <c r="AS32" s="1765">
        <v>0</v>
      </c>
      <c r="AT32" s="1765">
        <v>0</v>
      </c>
      <c r="AU32" s="1765">
        <v>0</v>
      </c>
      <c r="AV32" s="1765">
        <v>0</v>
      </c>
      <c r="AW32" s="1765">
        <v>0</v>
      </c>
      <c r="AX32" s="1765">
        <v>0</v>
      </c>
      <c r="AY32" s="1765">
        <v>0</v>
      </c>
      <c r="AZ32" s="1765">
        <v>0</v>
      </c>
      <c r="BA32" s="1765">
        <v>0</v>
      </c>
      <c r="BB32" s="1765">
        <v>0</v>
      </c>
      <c r="BC32" s="1765">
        <v>0</v>
      </c>
      <c r="BD32" s="1765">
        <v>0</v>
      </c>
      <c r="BE32" s="1765">
        <v>0</v>
      </c>
      <c r="BF32" s="1765">
        <v>0</v>
      </c>
      <c r="BG32" s="1765">
        <v>0</v>
      </c>
      <c r="BH32" s="1765">
        <v>0</v>
      </c>
      <c r="BI32" s="1765">
        <v>0</v>
      </c>
      <c r="BJ32" s="1765">
        <v>0</v>
      </c>
      <c r="BK32" s="1765">
        <v>0</v>
      </c>
      <c r="BL32" s="1765">
        <v>0</v>
      </c>
      <c r="BM32" s="1765">
        <v>0</v>
      </c>
      <c r="BN32" s="1765">
        <v>0</v>
      </c>
      <c r="BO32" s="1765">
        <v>0</v>
      </c>
      <c r="BP32" s="1765">
        <v>0</v>
      </c>
      <c r="BQ32" s="1765">
        <v>0</v>
      </c>
      <c r="BR32" s="1765">
        <v>0</v>
      </c>
      <c r="BS32" s="1765">
        <v>0</v>
      </c>
      <c r="BT32" s="1765">
        <v>0</v>
      </c>
      <c r="BU32" s="1765">
        <v>0</v>
      </c>
      <c r="BV32" s="1765">
        <v>0</v>
      </c>
      <c r="BW32" s="1765">
        <v>0</v>
      </c>
      <c r="BX32" s="1765">
        <v>0</v>
      </c>
      <c r="BY32" s="1765">
        <v>0</v>
      </c>
      <c r="BZ32" s="1765">
        <v>0</v>
      </c>
      <c r="CA32" s="1765">
        <v>0</v>
      </c>
      <c r="CB32" s="1765">
        <v>0</v>
      </c>
      <c r="CC32" s="1765">
        <v>0</v>
      </c>
      <c r="CD32" s="1765">
        <v>0</v>
      </c>
      <c r="CE32" s="1765">
        <v>0</v>
      </c>
      <c r="CF32" s="1765">
        <v>0</v>
      </c>
      <c r="CG32" s="1765">
        <v>0</v>
      </c>
      <c r="CH32" s="1765">
        <v>0</v>
      </c>
      <c r="CI32" s="1765">
        <v>0</v>
      </c>
      <c r="CJ32" s="1765">
        <v>0</v>
      </c>
      <c r="CK32" s="1765">
        <v>0</v>
      </c>
      <c r="CL32" s="1765">
        <v>0</v>
      </c>
      <c r="CM32" s="1765">
        <v>0</v>
      </c>
      <c r="CN32" s="1765">
        <v>0</v>
      </c>
      <c r="CO32" s="1765">
        <v>0</v>
      </c>
      <c r="CP32" s="1765">
        <v>0</v>
      </c>
    </row>
    <row r="33" spans="1:94" ht="15" customHeight="1" thickBot="1" x14ac:dyDescent="0.25">
      <c r="A33" s="1848"/>
      <c r="B33" s="1857"/>
      <c r="C33" s="800" t="s">
        <v>2086</v>
      </c>
      <c r="D33" s="936"/>
      <c r="E33" s="1896"/>
      <c r="F33" s="1225"/>
      <c r="G33" s="1765">
        <v>0</v>
      </c>
      <c r="H33" s="1765">
        <v>0</v>
      </c>
      <c r="I33" s="1765">
        <v>0</v>
      </c>
      <c r="J33" s="1765">
        <v>0</v>
      </c>
      <c r="K33" s="1765">
        <v>0</v>
      </c>
      <c r="L33" s="1765">
        <v>0</v>
      </c>
      <c r="M33" s="1765">
        <v>0</v>
      </c>
      <c r="N33" s="1765">
        <v>0</v>
      </c>
      <c r="O33" s="1765">
        <v>0</v>
      </c>
      <c r="P33" s="1765">
        <v>0</v>
      </c>
      <c r="Q33" s="1765">
        <v>0</v>
      </c>
      <c r="R33" s="1765">
        <v>0</v>
      </c>
      <c r="S33" s="1765">
        <v>0</v>
      </c>
      <c r="T33" s="1765">
        <v>0</v>
      </c>
      <c r="U33" s="1765">
        <v>0</v>
      </c>
      <c r="V33" s="1765">
        <v>0</v>
      </c>
      <c r="W33" s="1765">
        <v>0</v>
      </c>
      <c r="X33" s="1765">
        <v>0</v>
      </c>
      <c r="Y33" s="1765">
        <v>0</v>
      </c>
      <c r="Z33" s="1765">
        <v>0</v>
      </c>
      <c r="AA33" s="1765">
        <v>0</v>
      </c>
      <c r="AB33" s="1765">
        <v>0</v>
      </c>
      <c r="AC33" s="1765">
        <v>0</v>
      </c>
      <c r="AD33" s="1765">
        <v>0</v>
      </c>
      <c r="AE33" s="1765">
        <v>0</v>
      </c>
      <c r="AF33" s="1765">
        <v>0</v>
      </c>
      <c r="AG33" s="1765">
        <v>0</v>
      </c>
      <c r="AH33" s="1765">
        <v>0</v>
      </c>
      <c r="AI33" s="1765">
        <v>0</v>
      </c>
      <c r="AJ33" s="1765">
        <v>0</v>
      </c>
      <c r="AK33" s="1765">
        <v>0</v>
      </c>
      <c r="AL33" s="1765">
        <v>0</v>
      </c>
      <c r="AM33" s="1765">
        <v>0</v>
      </c>
      <c r="AN33" s="1765">
        <v>0</v>
      </c>
      <c r="AO33" s="1765">
        <v>0</v>
      </c>
      <c r="AP33" s="1765">
        <v>0</v>
      </c>
      <c r="AQ33" s="1765">
        <v>0</v>
      </c>
      <c r="AR33" s="1765">
        <v>0</v>
      </c>
      <c r="AS33" s="1765">
        <v>0</v>
      </c>
      <c r="AT33" s="1765">
        <v>0</v>
      </c>
      <c r="AU33" s="1765">
        <v>0</v>
      </c>
      <c r="AV33" s="1765">
        <v>0</v>
      </c>
      <c r="AW33" s="1765">
        <v>0</v>
      </c>
      <c r="AX33" s="1765">
        <v>0</v>
      </c>
      <c r="AY33" s="1765">
        <v>0</v>
      </c>
      <c r="AZ33" s="1765">
        <v>0</v>
      </c>
      <c r="BA33" s="1765">
        <v>0</v>
      </c>
      <c r="BB33" s="1765">
        <v>0</v>
      </c>
      <c r="BC33" s="1765">
        <v>0</v>
      </c>
      <c r="BD33" s="1765">
        <v>0</v>
      </c>
      <c r="BE33" s="1765">
        <v>0</v>
      </c>
      <c r="BF33" s="1765">
        <v>0</v>
      </c>
      <c r="BG33" s="1765">
        <v>0</v>
      </c>
      <c r="BH33" s="1765">
        <v>0</v>
      </c>
      <c r="BI33" s="1765">
        <v>0</v>
      </c>
      <c r="BJ33" s="1765">
        <v>0</v>
      </c>
      <c r="BK33" s="1765">
        <v>0</v>
      </c>
      <c r="BL33" s="1765">
        <v>0</v>
      </c>
      <c r="BM33" s="1765">
        <v>0</v>
      </c>
      <c r="BN33" s="1765">
        <v>0</v>
      </c>
      <c r="BO33" s="1765">
        <v>0</v>
      </c>
      <c r="BP33" s="1765">
        <v>0</v>
      </c>
      <c r="BQ33" s="1765">
        <v>0</v>
      </c>
      <c r="BR33" s="1765">
        <v>0</v>
      </c>
      <c r="BS33" s="1765">
        <v>0</v>
      </c>
      <c r="BT33" s="1765">
        <v>0</v>
      </c>
      <c r="BU33" s="1765">
        <v>0</v>
      </c>
      <c r="BV33" s="1765">
        <v>0</v>
      </c>
      <c r="BW33" s="1765">
        <v>0</v>
      </c>
      <c r="BX33" s="1765">
        <v>0</v>
      </c>
      <c r="BY33" s="1765">
        <v>0</v>
      </c>
      <c r="BZ33" s="1765">
        <v>0</v>
      </c>
      <c r="CA33" s="1765">
        <v>0</v>
      </c>
      <c r="CB33" s="1765">
        <v>0</v>
      </c>
      <c r="CC33" s="1765">
        <v>0</v>
      </c>
      <c r="CD33" s="1765">
        <v>0</v>
      </c>
      <c r="CE33" s="1765">
        <v>0</v>
      </c>
      <c r="CF33" s="1765">
        <v>0</v>
      </c>
      <c r="CG33" s="1765">
        <v>0</v>
      </c>
      <c r="CH33" s="1765">
        <v>0</v>
      </c>
      <c r="CI33" s="1765">
        <v>0</v>
      </c>
      <c r="CJ33" s="1765">
        <v>0</v>
      </c>
      <c r="CK33" s="1765">
        <v>0</v>
      </c>
      <c r="CL33" s="1765">
        <v>0</v>
      </c>
      <c r="CM33" s="1765">
        <v>0</v>
      </c>
      <c r="CN33" s="1765">
        <v>0</v>
      </c>
      <c r="CO33" s="1765">
        <v>0</v>
      </c>
      <c r="CP33" s="1765">
        <v>0</v>
      </c>
    </row>
    <row r="34" spans="1:94" ht="23.25" customHeight="1" thickBot="1" x14ac:dyDescent="0.25">
      <c r="A34" s="1849" t="s">
        <v>1280</v>
      </c>
      <c r="B34" s="1846" t="s">
        <v>2248</v>
      </c>
      <c r="C34" s="1776" t="s">
        <v>2242</v>
      </c>
      <c r="D34" s="947"/>
      <c r="E34" s="1830" t="s">
        <v>1833</v>
      </c>
      <c r="F34" s="1225"/>
      <c r="G34" s="1742"/>
      <c r="H34" s="1742"/>
      <c r="I34" s="1742"/>
      <c r="J34" s="1742"/>
      <c r="K34" s="1742"/>
      <c r="L34" s="1742"/>
      <c r="M34" s="1742"/>
      <c r="N34" s="1742"/>
      <c r="O34" s="1742"/>
      <c r="P34" s="1742"/>
      <c r="Q34" s="1742"/>
      <c r="R34" s="1742"/>
      <c r="S34" s="1742"/>
      <c r="T34" s="1742"/>
      <c r="U34" s="1742"/>
      <c r="V34" s="1742"/>
      <c r="W34" s="1742"/>
      <c r="X34" s="1742"/>
      <c r="Y34" s="1742"/>
      <c r="Z34" s="1742"/>
      <c r="AA34" s="1742"/>
      <c r="AB34" s="1742"/>
      <c r="AC34" s="1742"/>
      <c r="AD34" s="1742"/>
      <c r="AE34" s="1742"/>
      <c r="AF34" s="1742"/>
      <c r="AG34" s="1742"/>
      <c r="AH34" s="1742"/>
      <c r="AI34" s="1742"/>
      <c r="AJ34" s="1742"/>
      <c r="AK34" s="1742"/>
      <c r="AL34" s="1742"/>
      <c r="AM34" s="1742"/>
      <c r="AN34" s="1742"/>
      <c r="AO34" s="1742"/>
      <c r="AP34" s="1742"/>
      <c r="AQ34" s="1742"/>
      <c r="AR34" s="1742"/>
      <c r="AS34" s="1742"/>
      <c r="AT34" s="1742"/>
      <c r="AU34" s="1742"/>
      <c r="AV34" s="1742"/>
      <c r="AW34" s="1742"/>
      <c r="AX34" s="1742"/>
      <c r="AY34" s="1742"/>
      <c r="AZ34" s="1742"/>
      <c r="BA34" s="1742"/>
      <c r="BB34" s="1742"/>
      <c r="BC34" s="1742"/>
      <c r="BD34" s="1742"/>
      <c r="BE34" s="1742"/>
      <c r="BF34" s="1742"/>
      <c r="BG34" s="1742"/>
      <c r="BH34" s="1742"/>
      <c r="BI34" s="1742"/>
      <c r="BJ34" s="1742"/>
      <c r="BK34" s="1742"/>
      <c r="BL34" s="1742"/>
      <c r="BM34" s="1742"/>
      <c r="BN34" s="1742"/>
      <c r="BO34" s="1742"/>
      <c r="BP34" s="1742"/>
      <c r="BQ34" s="1742"/>
      <c r="BR34" s="1742"/>
      <c r="BS34" s="1742"/>
      <c r="BT34" s="1742"/>
      <c r="BU34" s="1742"/>
      <c r="BV34" s="1742"/>
      <c r="BW34" s="1742"/>
      <c r="BX34" s="1742"/>
      <c r="BY34" s="1742"/>
      <c r="BZ34" s="1742"/>
      <c r="CA34" s="1742"/>
      <c r="CB34" s="1742"/>
      <c r="CC34" s="1742"/>
      <c r="CD34" s="1742"/>
      <c r="CE34" s="1742"/>
      <c r="CF34" s="1742"/>
      <c r="CG34" s="1742"/>
      <c r="CH34" s="1742"/>
      <c r="CI34" s="1742"/>
      <c r="CJ34" s="1742"/>
      <c r="CK34" s="1742"/>
      <c r="CL34" s="1742"/>
      <c r="CM34" s="1742"/>
      <c r="CN34" s="1742"/>
      <c r="CO34" s="1742"/>
      <c r="CP34" s="1742"/>
    </row>
    <row r="35" spans="1:94" ht="42" customHeight="1" x14ac:dyDescent="0.2">
      <c r="A35" s="1847"/>
      <c r="B35" s="1856"/>
      <c r="C35" s="1279" t="s">
        <v>2348</v>
      </c>
      <c r="D35" s="947"/>
      <c r="E35" s="1831"/>
      <c r="F35" s="1225"/>
      <c r="G35" s="1742"/>
      <c r="H35" s="1742"/>
      <c r="I35" s="1742"/>
      <c r="J35" s="1742"/>
      <c r="K35" s="1742"/>
      <c r="L35" s="1742"/>
      <c r="M35" s="1742"/>
      <c r="N35" s="1742"/>
      <c r="O35" s="1742"/>
      <c r="P35" s="1742"/>
      <c r="Q35" s="1742"/>
      <c r="R35" s="1742"/>
      <c r="S35" s="1742"/>
      <c r="T35" s="1742"/>
      <c r="U35" s="1742"/>
      <c r="V35" s="1742"/>
      <c r="W35" s="1742"/>
      <c r="X35" s="1742"/>
      <c r="Y35" s="1742"/>
      <c r="Z35" s="1742"/>
      <c r="AA35" s="1742"/>
      <c r="AB35" s="1742"/>
      <c r="AC35" s="1742"/>
      <c r="AD35" s="1742"/>
      <c r="AE35" s="1742"/>
      <c r="AF35" s="1742"/>
      <c r="AG35" s="1742"/>
      <c r="AH35" s="1742"/>
      <c r="AI35" s="1742"/>
      <c r="AJ35" s="1742"/>
      <c r="AK35" s="1742"/>
      <c r="AL35" s="1742"/>
      <c r="AM35" s="1742"/>
      <c r="AN35" s="1742"/>
      <c r="AO35" s="1742"/>
      <c r="AP35" s="1742"/>
      <c r="AQ35" s="1742"/>
      <c r="AR35" s="1742"/>
      <c r="AS35" s="1742"/>
      <c r="AT35" s="1742"/>
      <c r="AU35" s="1742"/>
      <c r="AV35" s="1742"/>
      <c r="AW35" s="1742"/>
      <c r="AX35" s="1742"/>
      <c r="AY35" s="1742"/>
      <c r="AZ35" s="1742"/>
      <c r="BA35" s="1742"/>
      <c r="BB35" s="1742"/>
      <c r="BC35" s="1742"/>
      <c r="BD35" s="1742"/>
      <c r="BE35" s="1742"/>
      <c r="BF35" s="1742"/>
      <c r="BG35" s="1742"/>
      <c r="BH35" s="1742"/>
      <c r="BI35" s="1742"/>
      <c r="BJ35" s="1742"/>
      <c r="BK35" s="1742"/>
      <c r="BL35" s="1742"/>
      <c r="BM35" s="1742"/>
      <c r="BN35" s="1742"/>
      <c r="BO35" s="1742"/>
      <c r="BP35" s="1742"/>
      <c r="BQ35" s="1742"/>
      <c r="BR35" s="1742"/>
      <c r="BS35" s="1742"/>
      <c r="BT35" s="1742"/>
      <c r="BU35" s="1742"/>
      <c r="BV35" s="1742"/>
      <c r="BW35" s="1742"/>
      <c r="BX35" s="1742"/>
      <c r="BY35" s="1742"/>
      <c r="BZ35" s="1742"/>
      <c r="CA35" s="1742"/>
      <c r="CB35" s="1742"/>
      <c r="CC35" s="1742"/>
      <c r="CD35" s="1742"/>
      <c r="CE35" s="1742"/>
      <c r="CF35" s="1742"/>
      <c r="CG35" s="1742"/>
      <c r="CH35" s="1742"/>
      <c r="CI35" s="1742"/>
      <c r="CJ35" s="1742"/>
      <c r="CK35" s="1742"/>
      <c r="CL35" s="1742"/>
      <c r="CM35" s="1742"/>
      <c r="CN35" s="1742"/>
      <c r="CO35" s="1742"/>
      <c r="CP35" s="1742"/>
    </row>
    <row r="36" spans="1:94" ht="19.5" customHeight="1" x14ac:dyDescent="0.2">
      <c r="A36" s="1847"/>
      <c r="B36" s="1856"/>
      <c r="C36" s="1275" t="s">
        <v>2345</v>
      </c>
      <c r="D36" s="936"/>
      <c r="E36" s="1831"/>
      <c r="F36" s="1225"/>
      <c r="G36" s="1765">
        <v>0</v>
      </c>
      <c r="H36" s="1765">
        <v>0</v>
      </c>
      <c r="I36" s="1765">
        <v>0</v>
      </c>
      <c r="J36" s="1765">
        <v>0</v>
      </c>
      <c r="K36" s="1765">
        <v>0</v>
      </c>
      <c r="L36" s="1765">
        <v>0</v>
      </c>
      <c r="M36" s="1765">
        <v>0</v>
      </c>
      <c r="N36" s="1765">
        <v>0</v>
      </c>
      <c r="O36" s="1765">
        <v>0</v>
      </c>
      <c r="P36" s="1765">
        <v>0</v>
      </c>
      <c r="Q36" s="1765">
        <v>0</v>
      </c>
      <c r="R36" s="1765">
        <v>0</v>
      </c>
      <c r="S36" s="1765">
        <v>0</v>
      </c>
      <c r="T36" s="1765">
        <v>0</v>
      </c>
      <c r="U36" s="1765">
        <v>0</v>
      </c>
      <c r="V36" s="1765">
        <v>0</v>
      </c>
      <c r="W36" s="1765">
        <v>0</v>
      </c>
      <c r="X36" s="1765">
        <v>0</v>
      </c>
      <c r="Y36" s="1765">
        <v>0</v>
      </c>
      <c r="Z36" s="1765">
        <v>0</v>
      </c>
      <c r="AA36" s="1765">
        <v>0</v>
      </c>
      <c r="AB36" s="1765">
        <v>0</v>
      </c>
      <c r="AC36" s="1765">
        <v>0</v>
      </c>
      <c r="AD36" s="1765">
        <v>0</v>
      </c>
      <c r="AE36" s="1765">
        <v>0</v>
      </c>
      <c r="AF36" s="1765">
        <v>0</v>
      </c>
      <c r="AG36" s="1765">
        <v>0</v>
      </c>
      <c r="AH36" s="1765">
        <v>0</v>
      </c>
      <c r="AI36" s="1765">
        <v>0</v>
      </c>
      <c r="AJ36" s="1765">
        <v>0</v>
      </c>
      <c r="AK36" s="1765">
        <v>0</v>
      </c>
      <c r="AL36" s="1765">
        <v>0</v>
      </c>
      <c r="AM36" s="1765">
        <v>0</v>
      </c>
      <c r="AN36" s="1765">
        <v>0</v>
      </c>
      <c r="AO36" s="1765">
        <v>0</v>
      </c>
      <c r="AP36" s="1765">
        <v>0</v>
      </c>
      <c r="AQ36" s="1765">
        <v>0</v>
      </c>
      <c r="AR36" s="1765">
        <v>0</v>
      </c>
      <c r="AS36" s="1765">
        <v>0</v>
      </c>
      <c r="AT36" s="1765">
        <v>0</v>
      </c>
      <c r="AU36" s="1765">
        <v>0</v>
      </c>
      <c r="AV36" s="1765">
        <v>0</v>
      </c>
      <c r="AW36" s="1765">
        <v>0</v>
      </c>
      <c r="AX36" s="1765">
        <v>0</v>
      </c>
      <c r="AY36" s="1765">
        <v>0</v>
      </c>
      <c r="AZ36" s="1765">
        <v>0</v>
      </c>
      <c r="BA36" s="1765">
        <v>0</v>
      </c>
      <c r="BB36" s="1765">
        <v>0</v>
      </c>
      <c r="BC36" s="1765">
        <v>0</v>
      </c>
      <c r="BD36" s="1765">
        <v>0</v>
      </c>
      <c r="BE36" s="1765">
        <v>0</v>
      </c>
      <c r="BF36" s="1765">
        <v>0</v>
      </c>
      <c r="BG36" s="1765">
        <v>0</v>
      </c>
      <c r="BH36" s="1765">
        <v>0</v>
      </c>
      <c r="BI36" s="1765">
        <v>0</v>
      </c>
      <c r="BJ36" s="1765">
        <v>0</v>
      </c>
      <c r="BK36" s="1765">
        <v>0</v>
      </c>
      <c r="BL36" s="1765">
        <v>0</v>
      </c>
      <c r="BM36" s="1765">
        <v>0</v>
      </c>
      <c r="BN36" s="1765">
        <v>0</v>
      </c>
      <c r="BO36" s="1765">
        <v>0</v>
      </c>
      <c r="BP36" s="1765">
        <v>0</v>
      </c>
      <c r="BQ36" s="1765">
        <v>0</v>
      </c>
      <c r="BR36" s="1765">
        <v>0</v>
      </c>
      <c r="BS36" s="1765">
        <v>0</v>
      </c>
      <c r="BT36" s="1765">
        <v>0</v>
      </c>
      <c r="BU36" s="1765">
        <v>0</v>
      </c>
      <c r="BV36" s="1765">
        <v>0</v>
      </c>
      <c r="BW36" s="1765">
        <v>0</v>
      </c>
      <c r="BX36" s="1765">
        <v>0</v>
      </c>
      <c r="BY36" s="1765">
        <v>0</v>
      </c>
      <c r="BZ36" s="1765">
        <v>0</v>
      </c>
      <c r="CA36" s="1765">
        <v>0</v>
      </c>
      <c r="CB36" s="1765">
        <v>0</v>
      </c>
      <c r="CC36" s="1765">
        <v>0</v>
      </c>
      <c r="CD36" s="1765">
        <v>0</v>
      </c>
      <c r="CE36" s="1765">
        <v>0</v>
      </c>
      <c r="CF36" s="1765">
        <v>0</v>
      </c>
      <c r="CG36" s="1765">
        <v>0</v>
      </c>
      <c r="CH36" s="1765">
        <v>0</v>
      </c>
      <c r="CI36" s="1765">
        <v>0</v>
      </c>
      <c r="CJ36" s="1765">
        <v>0</v>
      </c>
      <c r="CK36" s="1765">
        <v>0</v>
      </c>
      <c r="CL36" s="1765">
        <v>0</v>
      </c>
      <c r="CM36" s="1765">
        <v>0</v>
      </c>
      <c r="CN36" s="1765">
        <v>0</v>
      </c>
      <c r="CO36" s="1765">
        <v>0</v>
      </c>
      <c r="CP36" s="1765">
        <v>0</v>
      </c>
    </row>
    <row r="37" spans="1:94" ht="20.25" customHeight="1" thickBot="1" x14ac:dyDescent="0.25">
      <c r="A37" s="1847"/>
      <c r="B37" s="1856"/>
      <c r="C37" s="1275" t="s">
        <v>2371</v>
      </c>
      <c r="D37" s="936"/>
      <c r="E37" s="1831"/>
      <c r="F37" s="1225"/>
      <c r="G37" s="1765">
        <v>0</v>
      </c>
      <c r="H37" s="1765">
        <v>0</v>
      </c>
      <c r="I37" s="1765">
        <v>0</v>
      </c>
      <c r="J37" s="1765">
        <v>0</v>
      </c>
      <c r="K37" s="1765">
        <v>0</v>
      </c>
      <c r="L37" s="1765">
        <v>0</v>
      </c>
      <c r="M37" s="1765">
        <v>0</v>
      </c>
      <c r="N37" s="1765">
        <v>0</v>
      </c>
      <c r="O37" s="1765">
        <v>0</v>
      </c>
      <c r="P37" s="1765">
        <v>0</v>
      </c>
      <c r="Q37" s="1765">
        <v>0</v>
      </c>
      <c r="R37" s="1765">
        <v>0</v>
      </c>
      <c r="S37" s="1765">
        <v>0</v>
      </c>
      <c r="T37" s="1765">
        <v>0</v>
      </c>
      <c r="U37" s="1765">
        <v>0</v>
      </c>
      <c r="V37" s="1765">
        <v>0</v>
      </c>
      <c r="W37" s="1765">
        <v>0</v>
      </c>
      <c r="X37" s="1765">
        <v>0</v>
      </c>
      <c r="Y37" s="1765">
        <v>0</v>
      </c>
      <c r="Z37" s="1765">
        <v>0</v>
      </c>
      <c r="AA37" s="1765">
        <v>0</v>
      </c>
      <c r="AB37" s="1765">
        <v>0</v>
      </c>
      <c r="AC37" s="1765">
        <v>0</v>
      </c>
      <c r="AD37" s="1765">
        <v>0</v>
      </c>
      <c r="AE37" s="1765">
        <v>0</v>
      </c>
      <c r="AF37" s="1765">
        <v>0</v>
      </c>
      <c r="AG37" s="1765">
        <v>0</v>
      </c>
      <c r="AH37" s="1765">
        <v>0</v>
      </c>
      <c r="AI37" s="1765">
        <v>0</v>
      </c>
      <c r="AJ37" s="1765">
        <v>0</v>
      </c>
      <c r="AK37" s="1765">
        <v>0</v>
      </c>
      <c r="AL37" s="1765">
        <v>0</v>
      </c>
      <c r="AM37" s="1765">
        <v>0</v>
      </c>
      <c r="AN37" s="1765">
        <v>0</v>
      </c>
      <c r="AO37" s="1765">
        <v>0</v>
      </c>
      <c r="AP37" s="1765">
        <v>0</v>
      </c>
      <c r="AQ37" s="1765">
        <v>0</v>
      </c>
      <c r="AR37" s="1765">
        <v>0</v>
      </c>
      <c r="AS37" s="1765">
        <v>0</v>
      </c>
      <c r="AT37" s="1765">
        <v>0</v>
      </c>
      <c r="AU37" s="1765">
        <v>0</v>
      </c>
      <c r="AV37" s="1765">
        <v>0</v>
      </c>
      <c r="AW37" s="1765">
        <v>0</v>
      </c>
      <c r="AX37" s="1765">
        <v>0</v>
      </c>
      <c r="AY37" s="1765">
        <v>0</v>
      </c>
      <c r="AZ37" s="1765">
        <v>0</v>
      </c>
      <c r="BA37" s="1765">
        <v>0</v>
      </c>
      <c r="BB37" s="1765">
        <v>0</v>
      </c>
      <c r="BC37" s="1765">
        <v>0</v>
      </c>
      <c r="BD37" s="1765">
        <v>0</v>
      </c>
      <c r="BE37" s="1765">
        <v>0</v>
      </c>
      <c r="BF37" s="1765">
        <v>0</v>
      </c>
      <c r="BG37" s="1765">
        <v>0</v>
      </c>
      <c r="BH37" s="1765">
        <v>0</v>
      </c>
      <c r="BI37" s="1765">
        <v>0</v>
      </c>
      <c r="BJ37" s="1765">
        <v>0</v>
      </c>
      <c r="BK37" s="1765">
        <v>0</v>
      </c>
      <c r="BL37" s="1765">
        <v>0</v>
      </c>
      <c r="BM37" s="1765">
        <v>0</v>
      </c>
      <c r="BN37" s="1765">
        <v>0</v>
      </c>
      <c r="BO37" s="1765">
        <v>0</v>
      </c>
      <c r="BP37" s="1765">
        <v>0</v>
      </c>
      <c r="BQ37" s="1765">
        <v>0</v>
      </c>
      <c r="BR37" s="1765">
        <v>0</v>
      </c>
      <c r="BS37" s="1765">
        <v>0</v>
      </c>
      <c r="BT37" s="1765">
        <v>0</v>
      </c>
      <c r="BU37" s="1765">
        <v>0</v>
      </c>
      <c r="BV37" s="1765">
        <v>0</v>
      </c>
      <c r="BW37" s="1765">
        <v>0</v>
      </c>
      <c r="BX37" s="1765">
        <v>0</v>
      </c>
      <c r="BY37" s="1765">
        <v>0</v>
      </c>
      <c r="BZ37" s="1765">
        <v>0</v>
      </c>
      <c r="CA37" s="1765">
        <v>0</v>
      </c>
      <c r="CB37" s="1765">
        <v>0</v>
      </c>
      <c r="CC37" s="1765">
        <v>0</v>
      </c>
      <c r="CD37" s="1765">
        <v>0</v>
      </c>
      <c r="CE37" s="1765">
        <v>0</v>
      </c>
      <c r="CF37" s="1765">
        <v>0</v>
      </c>
      <c r="CG37" s="1765">
        <v>0</v>
      </c>
      <c r="CH37" s="1765">
        <v>0</v>
      </c>
      <c r="CI37" s="1765">
        <v>0</v>
      </c>
      <c r="CJ37" s="1765">
        <v>0</v>
      </c>
      <c r="CK37" s="1765">
        <v>0</v>
      </c>
      <c r="CL37" s="1765">
        <v>0</v>
      </c>
      <c r="CM37" s="1765">
        <v>0</v>
      </c>
      <c r="CN37" s="1765">
        <v>0</v>
      </c>
      <c r="CO37" s="1765">
        <v>0</v>
      </c>
      <c r="CP37" s="1765">
        <v>0</v>
      </c>
    </row>
    <row r="38" spans="1:94" ht="42" customHeight="1" x14ac:dyDescent="0.2">
      <c r="A38" s="1847"/>
      <c r="B38" s="1856"/>
      <c r="C38" s="1280" t="s">
        <v>2344</v>
      </c>
      <c r="D38" s="947"/>
      <c r="E38" s="1831"/>
      <c r="F38" s="1225"/>
      <c r="G38" s="1742"/>
      <c r="H38" s="1742"/>
      <c r="I38" s="1742"/>
      <c r="J38" s="1742"/>
      <c r="K38" s="1742"/>
      <c r="L38" s="1742"/>
      <c r="M38" s="1742"/>
      <c r="N38" s="1742"/>
      <c r="O38" s="1742"/>
      <c r="P38" s="1742"/>
      <c r="Q38" s="1742"/>
      <c r="R38" s="1742"/>
      <c r="S38" s="1742"/>
      <c r="T38" s="1742"/>
      <c r="U38" s="1742"/>
      <c r="V38" s="1742"/>
      <c r="W38" s="1742"/>
      <c r="X38" s="1742"/>
      <c r="Y38" s="1742"/>
      <c r="Z38" s="1742"/>
      <c r="AA38" s="1742"/>
      <c r="AB38" s="1742"/>
      <c r="AC38" s="1742"/>
      <c r="AD38" s="1742"/>
      <c r="AE38" s="1742"/>
      <c r="AF38" s="1742"/>
      <c r="AG38" s="1742"/>
      <c r="AH38" s="1742"/>
      <c r="AI38" s="1742"/>
      <c r="AJ38" s="1742"/>
      <c r="AK38" s="1742"/>
      <c r="AL38" s="1742"/>
      <c r="AM38" s="1742"/>
      <c r="AN38" s="1742"/>
      <c r="AO38" s="1742"/>
      <c r="AP38" s="1742"/>
      <c r="AQ38" s="1742"/>
      <c r="AR38" s="1742"/>
      <c r="AS38" s="1742"/>
      <c r="AT38" s="1742"/>
      <c r="AU38" s="1742"/>
      <c r="AV38" s="1742"/>
      <c r="AW38" s="1742"/>
      <c r="AX38" s="1742"/>
      <c r="AY38" s="1742"/>
      <c r="AZ38" s="1742"/>
      <c r="BA38" s="1742"/>
      <c r="BB38" s="1742"/>
      <c r="BC38" s="1742"/>
      <c r="BD38" s="1742"/>
      <c r="BE38" s="1742"/>
      <c r="BF38" s="1742"/>
      <c r="BG38" s="1742"/>
      <c r="BH38" s="1742"/>
      <c r="BI38" s="1742"/>
      <c r="BJ38" s="1742"/>
      <c r="BK38" s="1742"/>
      <c r="BL38" s="1742"/>
      <c r="BM38" s="1742"/>
      <c r="BN38" s="1742"/>
      <c r="BO38" s="1742"/>
      <c r="BP38" s="1742"/>
      <c r="BQ38" s="1742"/>
      <c r="BR38" s="1742"/>
      <c r="BS38" s="1742"/>
      <c r="BT38" s="1742"/>
      <c r="BU38" s="1742"/>
      <c r="BV38" s="1742"/>
      <c r="BW38" s="1742"/>
      <c r="BX38" s="1742"/>
      <c r="BY38" s="1742"/>
      <c r="BZ38" s="1742"/>
      <c r="CA38" s="1742"/>
      <c r="CB38" s="1742"/>
      <c r="CC38" s="1742"/>
      <c r="CD38" s="1742"/>
      <c r="CE38" s="1742"/>
      <c r="CF38" s="1742"/>
      <c r="CG38" s="1742"/>
      <c r="CH38" s="1742"/>
      <c r="CI38" s="1742"/>
      <c r="CJ38" s="1742"/>
      <c r="CK38" s="1742"/>
      <c r="CL38" s="1742"/>
      <c r="CM38" s="1742"/>
      <c r="CN38" s="1742"/>
      <c r="CO38" s="1742"/>
      <c r="CP38" s="1742"/>
    </row>
    <row r="39" spans="1:94" ht="19.5" customHeight="1" x14ac:dyDescent="0.2">
      <c r="A39" s="1847"/>
      <c r="B39" s="1856"/>
      <c r="C39" s="1275" t="s">
        <v>2346</v>
      </c>
      <c r="D39" s="936"/>
      <c r="E39" s="1831"/>
      <c r="F39" s="1225"/>
      <c r="G39" s="1765">
        <v>0</v>
      </c>
      <c r="H39" s="1765">
        <v>0</v>
      </c>
      <c r="I39" s="1765">
        <v>0</v>
      </c>
      <c r="J39" s="1765">
        <v>0</v>
      </c>
      <c r="K39" s="1765">
        <v>0</v>
      </c>
      <c r="L39" s="1765">
        <v>0</v>
      </c>
      <c r="M39" s="1765">
        <v>0</v>
      </c>
      <c r="N39" s="1765">
        <v>0</v>
      </c>
      <c r="O39" s="1765">
        <v>0</v>
      </c>
      <c r="P39" s="1765">
        <v>0</v>
      </c>
      <c r="Q39" s="1765">
        <v>0</v>
      </c>
      <c r="R39" s="1765">
        <v>0</v>
      </c>
      <c r="S39" s="1765">
        <v>0</v>
      </c>
      <c r="T39" s="1765">
        <v>0</v>
      </c>
      <c r="U39" s="1765">
        <v>0</v>
      </c>
      <c r="V39" s="1765">
        <v>0</v>
      </c>
      <c r="W39" s="1765">
        <v>0</v>
      </c>
      <c r="X39" s="1765">
        <v>0</v>
      </c>
      <c r="Y39" s="1765">
        <v>0</v>
      </c>
      <c r="Z39" s="1765">
        <v>0</v>
      </c>
      <c r="AA39" s="1765">
        <v>0</v>
      </c>
      <c r="AB39" s="1765">
        <v>0</v>
      </c>
      <c r="AC39" s="1765">
        <v>0</v>
      </c>
      <c r="AD39" s="1765">
        <v>0</v>
      </c>
      <c r="AE39" s="1765">
        <v>0</v>
      </c>
      <c r="AF39" s="1765">
        <v>0</v>
      </c>
      <c r="AG39" s="1765">
        <v>0</v>
      </c>
      <c r="AH39" s="1765">
        <v>0</v>
      </c>
      <c r="AI39" s="1765">
        <v>0</v>
      </c>
      <c r="AJ39" s="1765">
        <v>0</v>
      </c>
      <c r="AK39" s="1765">
        <v>0</v>
      </c>
      <c r="AL39" s="1765">
        <v>0</v>
      </c>
      <c r="AM39" s="1765">
        <v>0</v>
      </c>
      <c r="AN39" s="1765">
        <v>0</v>
      </c>
      <c r="AO39" s="1765">
        <v>0</v>
      </c>
      <c r="AP39" s="1765">
        <v>0</v>
      </c>
      <c r="AQ39" s="1765">
        <v>0</v>
      </c>
      <c r="AR39" s="1765">
        <v>0</v>
      </c>
      <c r="AS39" s="1765">
        <v>0</v>
      </c>
      <c r="AT39" s="1765">
        <v>0</v>
      </c>
      <c r="AU39" s="1765">
        <v>0</v>
      </c>
      <c r="AV39" s="1765">
        <v>0</v>
      </c>
      <c r="AW39" s="1765">
        <v>0</v>
      </c>
      <c r="AX39" s="1765">
        <v>0</v>
      </c>
      <c r="AY39" s="1765">
        <v>0</v>
      </c>
      <c r="AZ39" s="1765">
        <v>0</v>
      </c>
      <c r="BA39" s="1765">
        <v>0</v>
      </c>
      <c r="BB39" s="1765">
        <v>0</v>
      </c>
      <c r="BC39" s="1765">
        <v>0</v>
      </c>
      <c r="BD39" s="1765">
        <v>0</v>
      </c>
      <c r="BE39" s="1765">
        <v>0</v>
      </c>
      <c r="BF39" s="1765">
        <v>0</v>
      </c>
      <c r="BG39" s="1765">
        <v>0</v>
      </c>
      <c r="BH39" s="1765">
        <v>0</v>
      </c>
      <c r="BI39" s="1765">
        <v>0</v>
      </c>
      <c r="BJ39" s="1765">
        <v>0</v>
      </c>
      <c r="BK39" s="1765">
        <v>0</v>
      </c>
      <c r="BL39" s="1765">
        <v>0</v>
      </c>
      <c r="BM39" s="1765">
        <v>0</v>
      </c>
      <c r="BN39" s="1765">
        <v>0</v>
      </c>
      <c r="BO39" s="1765">
        <v>0</v>
      </c>
      <c r="BP39" s="1765">
        <v>0</v>
      </c>
      <c r="BQ39" s="1765">
        <v>0</v>
      </c>
      <c r="BR39" s="1765">
        <v>0</v>
      </c>
      <c r="BS39" s="1765">
        <v>0</v>
      </c>
      <c r="BT39" s="1765">
        <v>0</v>
      </c>
      <c r="BU39" s="1765">
        <v>0</v>
      </c>
      <c r="BV39" s="1765">
        <v>0</v>
      </c>
      <c r="BW39" s="1765">
        <v>0</v>
      </c>
      <c r="BX39" s="1765">
        <v>0</v>
      </c>
      <c r="BY39" s="1765">
        <v>0</v>
      </c>
      <c r="BZ39" s="1765">
        <v>0</v>
      </c>
      <c r="CA39" s="1765">
        <v>0</v>
      </c>
      <c r="CB39" s="1765">
        <v>0</v>
      </c>
      <c r="CC39" s="1765">
        <v>0</v>
      </c>
      <c r="CD39" s="1765">
        <v>0</v>
      </c>
      <c r="CE39" s="1765">
        <v>0</v>
      </c>
      <c r="CF39" s="1765">
        <v>0</v>
      </c>
      <c r="CG39" s="1765">
        <v>0</v>
      </c>
      <c r="CH39" s="1765">
        <v>0</v>
      </c>
      <c r="CI39" s="1765">
        <v>0</v>
      </c>
      <c r="CJ39" s="1765">
        <v>0</v>
      </c>
      <c r="CK39" s="1765">
        <v>0</v>
      </c>
      <c r="CL39" s="1765">
        <v>0</v>
      </c>
      <c r="CM39" s="1765">
        <v>0</v>
      </c>
      <c r="CN39" s="1765">
        <v>0</v>
      </c>
      <c r="CO39" s="1765">
        <v>0</v>
      </c>
      <c r="CP39" s="1765">
        <v>0</v>
      </c>
    </row>
    <row r="40" spans="1:94" ht="27" customHeight="1" thickBot="1" x14ac:dyDescent="0.25">
      <c r="A40" s="1848"/>
      <c r="B40" s="1857"/>
      <c r="C40" s="1276" t="s">
        <v>2347</v>
      </c>
      <c r="D40" s="950"/>
      <c r="E40" s="1832"/>
      <c r="F40" s="1225"/>
      <c r="G40" s="1765">
        <v>0</v>
      </c>
      <c r="H40" s="1765">
        <v>0</v>
      </c>
      <c r="I40" s="1765">
        <v>0</v>
      </c>
      <c r="J40" s="1765">
        <v>0</v>
      </c>
      <c r="K40" s="1765">
        <v>0</v>
      </c>
      <c r="L40" s="1765">
        <v>0</v>
      </c>
      <c r="M40" s="1765">
        <v>0</v>
      </c>
      <c r="N40" s="1765">
        <v>0</v>
      </c>
      <c r="O40" s="1765">
        <v>0</v>
      </c>
      <c r="P40" s="1765">
        <v>0</v>
      </c>
      <c r="Q40" s="1765">
        <v>0</v>
      </c>
      <c r="R40" s="1765">
        <v>0</v>
      </c>
      <c r="S40" s="1765">
        <v>0</v>
      </c>
      <c r="T40" s="1765">
        <v>0</v>
      </c>
      <c r="U40" s="1765">
        <v>0</v>
      </c>
      <c r="V40" s="1765">
        <v>0</v>
      </c>
      <c r="W40" s="1765">
        <v>0</v>
      </c>
      <c r="X40" s="1765">
        <v>0</v>
      </c>
      <c r="Y40" s="1765">
        <v>0</v>
      </c>
      <c r="Z40" s="1765">
        <v>0</v>
      </c>
      <c r="AA40" s="1765">
        <v>0</v>
      </c>
      <c r="AB40" s="1765">
        <v>0</v>
      </c>
      <c r="AC40" s="1765">
        <v>0</v>
      </c>
      <c r="AD40" s="1765">
        <v>0</v>
      </c>
      <c r="AE40" s="1765">
        <v>0</v>
      </c>
      <c r="AF40" s="1765">
        <v>0</v>
      </c>
      <c r="AG40" s="1765">
        <v>0</v>
      </c>
      <c r="AH40" s="1765">
        <v>0</v>
      </c>
      <c r="AI40" s="1765">
        <v>0</v>
      </c>
      <c r="AJ40" s="1765">
        <v>0</v>
      </c>
      <c r="AK40" s="1765">
        <v>0</v>
      </c>
      <c r="AL40" s="1765">
        <v>0</v>
      </c>
      <c r="AM40" s="1765">
        <v>0</v>
      </c>
      <c r="AN40" s="1765">
        <v>0</v>
      </c>
      <c r="AO40" s="1765">
        <v>0</v>
      </c>
      <c r="AP40" s="1765">
        <v>0</v>
      </c>
      <c r="AQ40" s="1765">
        <v>0</v>
      </c>
      <c r="AR40" s="1765">
        <v>0</v>
      </c>
      <c r="AS40" s="1765">
        <v>0</v>
      </c>
      <c r="AT40" s="1765">
        <v>0</v>
      </c>
      <c r="AU40" s="1765">
        <v>0</v>
      </c>
      <c r="AV40" s="1765">
        <v>0</v>
      </c>
      <c r="AW40" s="1765">
        <v>0</v>
      </c>
      <c r="AX40" s="1765">
        <v>0</v>
      </c>
      <c r="AY40" s="1765">
        <v>0</v>
      </c>
      <c r="AZ40" s="1765">
        <v>0</v>
      </c>
      <c r="BA40" s="1765">
        <v>0</v>
      </c>
      <c r="BB40" s="1765">
        <v>0</v>
      </c>
      <c r="BC40" s="1765">
        <v>0</v>
      </c>
      <c r="BD40" s="1765">
        <v>0</v>
      </c>
      <c r="BE40" s="1765">
        <v>0</v>
      </c>
      <c r="BF40" s="1765">
        <v>0</v>
      </c>
      <c r="BG40" s="1765">
        <v>0</v>
      </c>
      <c r="BH40" s="1765">
        <v>0</v>
      </c>
      <c r="BI40" s="1765">
        <v>0</v>
      </c>
      <c r="BJ40" s="1765">
        <v>0</v>
      </c>
      <c r="BK40" s="1765">
        <v>0</v>
      </c>
      <c r="BL40" s="1765">
        <v>0</v>
      </c>
      <c r="BM40" s="1765">
        <v>0</v>
      </c>
      <c r="BN40" s="1765">
        <v>0</v>
      </c>
      <c r="BO40" s="1765">
        <v>0</v>
      </c>
      <c r="BP40" s="1765">
        <v>0</v>
      </c>
      <c r="BQ40" s="1765">
        <v>0</v>
      </c>
      <c r="BR40" s="1765">
        <v>0</v>
      </c>
      <c r="BS40" s="1765">
        <v>0</v>
      </c>
      <c r="BT40" s="1765">
        <v>0</v>
      </c>
      <c r="BU40" s="1765">
        <v>0</v>
      </c>
      <c r="BV40" s="1765">
        <v>0</v>
      </c>
      <c r="BW40" s="1765">
        <v>0</v>
      </c>
      <c r="BX40" s="1765">
        <v>0</v>
      </c>
      <c r="BY40" s="1765">
        <v>0</v>
      </c>
      <c r="BZ40" s="1765">
        <v>0</v>
      </c>
      <c r="CA40" s="1765">
        <v>0</v>
      </c>
      <c r="CB40" s="1765">
        <v>0</v>
      </c>
      <c r="CC40" s="1765">
        <v>0</v>
      </c>
      <c r="CD40" s="1765">
        <v>0</v>
      </c>
      <c r="CE40" s="1765">
        <v>0</v>
      </c>
      <c r="CF40" s="1765">
        <v>0</v>
      </c>
      <c r="CG40" s="1765">
        <v>0</v>
      </c>
      <c r="CH40" s="1765">
        <v>0</v>
      </c>
      <c r="CI40" s="1765">
        <v>0</v>
      </c>
      <c r="CJ40" s="1765">
        <v>0</v>
      </c>
      <c r="CK40" s="1765">
        <v>0</v>
      </c>
      <c r="CL40" s="1765">
        <v>0</v>
      </c>
      <c r="CM40" s="1765">
        <v>0</v>
      </c>
      <c r="CN40" s="1765">
        <v>0</v>
      </c>
      <c r="CO40" s="1765">
        <v>0</v>
      </c>
      <c r="CP40" s="1765">
        <v>0</v>
      </c>
    </row>
    <row r="41" spans="1:94" ht="42.75" customHeight="1" thickBot="1" x14ac:dyDescent="0.25">
      <c r="A41" s="1849" t="s">
        <v>1281</v>
      </c>
      <c r="B41" s="1846" t="s">
        <v>162</v>
      </c>
      <c r="C41" s="1777" t="s">
        <v>2507</v>
      </c>
      <c r="D41" s="947"/>
      <c r="E41" s="1843" t="s">
        <v>1834</v>
      </c>
      <c r="F41" s="1225"/>
      <c r="G41" s="1742"/>
      <c r="H41" s="1742"/>
      <c r="I41" s="1742"/>
      <c r="J41" s="1742"/>
      <c r="K41" s="1742"/>
      <c r="L41" s="1742"/>
      <c r="M41" s="1742"/>
      <c r="N41" s="1742"/>
      <c r="O41" s="1742"/>
      <c r="P41" s="1742"/>
      <c r="Q41" s="1742"/>
      <c r="R41" s="1742"/>
      <c r="S41" s="1742"/>
      <c r="T41" s="1742"/>
      <c r="U41" s="1742"/>
      <c r="V41" s="1742"/>
      <c r="W41" s="1742"/>
      <c r="X41" s="1742"/>
      <c r="Y41" s="1742"/>
      <c r="Z41" s="1742"/>
      <c r="AA41" s="1742"/>
      <c r="AB41" s="1742"/>
      <c r="AC41" s="1742"/>
      <c r="AD41" s="1742"/>
      <c r="AE41" s="1742"/>
      <c r="AF41" s="1742"/>
      <c r="AG41" s="1742"/>
      <c r="AH41" s="1742"/>
      <c r="AI41" s="1742"/>
      <c r="AJ41" s="1742"/>
      <c r="AK41" s="1742"/>
      <c r="AL41" s="1742"/>
      <c r="AM41" s="1742"/>
      <c r="AN41" s="1742"/>
      <c r="AO41" s="1742"/>
      <c r="AP41" s="1742"/>
      <c r="AQ41" s="1742"/>
      <c r="AR41" s="1742"/>
      <c r="AS41" s="1742"/>
      <c r="AT41" s="1742"/>
      <c r="AU41" s="1742"/>
      <c r="AV41" s="1742"/>
      <c r="AW41" s="1742"/>
      <c r="AX41" s="1742"/>
      <c r="AY41" s="1742"/>
      <c r="AZ41" s="1742"/>
      <c r="BA41" s="1742"/>
      <c r="BB41" s="1742"/>
      <c r="BC41" s="1742"/>
      <c r="BD41" s="1742"/>
      <c r="BE41" s="1742"/>
      <c r="BF41" s="1742"/>
      <c r="BG41" s="1742"/>
      <c r="BH41" s="1742"/>
      <c r="BI41" s="1742"/>
      <c r="BJ41" s="1742"/>
      <c r="BK41" s="1742"/>
      <c r="BL41" s="1742"/>
      <c r="BM41" s="1742"/>
      <c r="BN41" s="1742"/>
      <c r="BO41" s="1742"/>
      <c r="BP41" s="1742"/>
      <c r="BQ41" s="1742"/>
      <c r="BR41" s="1742"/>
      <c r="BS41" s="1742"/>
      <c r="BT41" s="1742"/>
      <c r="BU41" s="1742"/>
      <c r="BV41" s="1742"/>
      <c r="BW41" s="1742"/>
      <c r="BX41" s="1742"/>
      <c r="BY41" s="1742"/>
      <c r="BZ41" s="1742"/>
      <c r="CA41" s="1742"/>
      <c r="CB41" s="1742"/>
      <c r="CC41" s="1742"/>
      <c r="CD41" s="1742"/>
      <c r="CE41" s="1742"/>
      <c r="CF41" s="1742"/>
      <c r="CG41" s="1742"/>
      <c r="CH41" s="1742"/>
      <c r="CI41" s="1742"/>
      <c r="CJ41" s="1742"/>
      <c r="CK41" s="1742"/>
      <c r="CL41" s="1742"/>
      <c r="CM41" s="1742"/>
      <c r="CN41" s="1742"/>
      <c r="CO41" s="1742"/>
      <c r="CP41" s="1742"/>
    </row>
    <row r="42" spans="1:94" ht="15" customHeight="1" x14ac:dyDescent="0.2">
      <c r="A42" s="1847"/>
      <c r="B42" s="1856"/>
      <c r="C42" s="652" t="s">
        <v>2078</v>
      </c>
      <c r="D42" s="936"/>
      <c r="E42" s="1844"/>
      <c r="F42" s="1225"/>
      <c r="G42" s="1767">
        <v>0</v>
      </c>
      <c r="H42" s="1767">
        <v>0</v>
      </c>
      <c r="I42" s="1767">
        <v>0</v>
      </c>
      <c r="J42" s="1767">
        <v>0</v>
      </c>
      <c r="K42" s="1767">
        <v>0</v>
      </c>
      <c r="L42" s="1767">
        <v>0</v>
      </c>
      <c r="M42" s="1767">
        <v>0</v>
      </c>
      <c r="N42" s="1767">
        <v>0</v>
      </c>
      <c r="O42" s="1767">
        <v>0</v>
      </c>
      <c r="P42" s="1767">
        <v>0</v>
      </c>
      <c r="Q42" s="1767">
        <v>0</v>
      </c>
      <c r="R42" s="1767">
        <v>0</v>
      </c>
      <c r="S42" s="1767">
        <v>0</v>
      </c>
      <c r="T42" s="1767">
        <v>0</v>
      </c>
      <c r="U42" s="1767">
        <v>0</v>
      </c>
      <c r="V42" s="1767">
        <v>0</v>
      </c>
      <c r="W42" s="1767">
        <v>0</v>
      </c>
      <c r="X42" s="1767">
        <v>0</v>
      </c>
      <c r="Y42" s="1767">
        <v>0</v>
      </c>
      <c r="Z42" s="1767">
        <v>0</v>
      </c>
      <c r="AA42" s="1767">
        <v>0</v>
      </c>
      <c r="AB42" s="1767">
        <v>0</v>
      </c>
      <c r="AC42" s="1767">
        <v>0</v>
      </c>
      <c r="AD42" s="1767">
        <v>0</v>
      </c>
      <c r="AE42" s="1767">
        <v>0</v>
      </c>
      <c r="AF42" s="1767">
        <v>0</v>
      </c>
      <c r="AG42" s="1767">
        <v>0</v>
      </c>
      <c r="AH42" s="1767">
        <v>0</v>
      </c>
      <c r="AI42" s="1767">
        <v>0</v>
      </c>
      <c r="AJ42" s="1767">
        <v>0</v>
      </c>
      <c r="AK42" s="1767">
        <v>0</v>
      </c>
      <c r="AL42" s="1767">
        <v>0</v>
      </c>
      <c r="AM42" s="1767">
        <v>0</v>
      </c>
      <c r="AN42" s="1767">
        <v>0</v>
      </c>
      <c r="AO42" s="1767">
        <v>0</v>
      </c>
      <c r="AP42" s="1767">
        <v>0</v>
      </c>
      <c r="AQ42" s="1767">
        <v>0</v>
      </c>
      <c r="AR42" s="1767">
        <v>0</v>
      </c>
      <c r="AS42" s="1767">
        <v>0</v>
      </c>
      <c r="AT42" s="1767">
        <v>0</v>
      </c>
      <c r="AU42" s="1767">
        <v>0</v>
      </c>
      <c r="AV42" s="1767">
        <v>0</v>
      </c>
      <c r="AW42" s="1767">
        <v>0</v>
      </c>
      <c r="AX42" s="1767">
        <v>0</v>
      </c>
      <c r="AY42" s="1767">
        <v>0</v>
      </c>
      <c r="AZ42" s="1767">
        <v>0</v>
      </c>
      <c r="BA42" s="1767">
        <v>0</v>
      </c>
      <c r="BB42" s="1767">
        <v>0</v>
      </c>
      <c r="BC42" s="1767">
        <v>0</v>
      </c>
      <c r="BD42" s="1767">
        <v>0</v>
      </c>
      <c r="BE42" s="1767">
        <v>0</v>
      </c>
      <c r="BF42" s="1767">
        <v>0</v>
      </c>
      <c r="BG42" s="1767">
        <v>0</v>
      </c>
      <c r="BH42" s="1767">
        <v>0</v>
      </c>
      <c r="BI42" s="1767">
        <v>0</v>
      </c>
      <c r="BJ42" s="1767">
        <v>0</v>
      </c>
      <c r="BK42" s="1767">
        <v>0</v>
      </c>
      <c r="BL42" s="1767">
        <v>0</v>
      </c>
      <c r="BM42" s="1767">
        <v>0</v>
      </c>
      <c r="BN42" s="1767">
        <v>0</v>
      </c>
      <c r="BO42" s="1767">
        <v>0</v>
      </c>
      <c r="BP42" s="1767">
        <v>0</v>
      </c>
      <c r="BQ42" s="1767">
        <v>0</v>
      </c>
      <c r="BR42" s="1767">
        <v>0</v>
      </c>
      <c r="BS42" s="1767">
        <v>0</v>
      </c>
      <c r="BT42" s="1767">
        <v>0</v>
      </c>
      <c r="BU42" s="1767">
        <v>0</v>
      </c>
      <c r="BV42" s="1767">
        <v>0</v>
      </c>
      <c r="BW42" s="1767">
        <v>0</v>
      </c>
      <c r="BX42" s="1767">
        <v>0</v>
      </c>
      <c r="BY42" s="1767">
        <v>0</v>
      </c>
      <c r="BZ42" s="1767">
        <v>0</v>
      </c>
      <c r="CA42" s="1767">
        <v>0</v>
      </c>
      <c r="CB42" s="1767">
        <v>0</v>
      </c>
      <c r="CC42" s="1767">
        <v>0</v>
      </c>
      <c r="CD42" s="1767">
        <v>0</v>
      </c>
      <c r="CE42" s="1767">
        <v>0</v>
      </c>
      <c r="CF42" s="1767">
        <v>0</v>
      </c>
      <c r="CG42" s="1767">
        <v>0</v>
      </c>
      <c r="CH42" s="1767">
        <v>0</v>
      </c>
      <c r="CI42" s="1767">
        <v>0</v>
      </c>
      <c r="CJ42" s="1767">
        <v>0</v>
      </c>
      <c r="CK42" s="1767">
        <v>0</v>
      </c>
      <c r="CL42" s="1767">
        <v>0</v>
      </c>
      <c r="CM42" s="1767">
        <v>0</v>
      </c>
      <c r="CN42" s="1767">
        <v>0</v>
      </c>
      <c r="CO42" s="1767">
        <v>0</v>
      </c>
      <c r="CP42" s="1767">
        <v>0</v>
      </c>
    </row>
    <row r="43" spans="1:94" ht="15" customHeight="1" thickBot="1" x14ac:dyDescent="0.25">
      <c r="A43" s="1848"/>
      <c r="B43" s="1857"/>
      <c r="C43" s="654" t="s">
        <v>1950</v>
      </c>
      <c r="D43" s="950"/>
      <c r="E43" s="1845"/>
      <c r="F43" s="1225"/>
      <c r="G43" s="1767">
        <v>0</v>
      </c>
      <c r="H43" s="1767">
        <v>0</v>
      </c>
      <c r="I43" s="1767">
        <v>0</v>
      </c>
      <c r="J43" s="1767">
        <v>0</v>
      </c>
      <c r="K43" s="1767">
        <v>0</v>
      </c>
      <c r="L43" s="1767">
        <v>0</v>
      </c>
      <c r="M43" s="1767">
        <v>0</v>
      </c>
      <c r="N43" s="1767">
        <v>0</v>
      </c>
      <c r="O43" s="1767">
        <v>0</v>
      </c>
      <c r="P43" s="1767">
        <v>0</v>
      </c>
      <c r="Q43" s="1767">
        <v>0</v>
      </c>
      <c r="R43" s="1767">
        <v>0</v>
      </c>
      <c r="S43" s="1767">
        <v>0</v>
      </c>
      <c r="T43" s="1767">
        <v>0</v>
      </c>
      <c r="U43" s="1767">
        <v>0</v>
      </c>
      <c r="V43" s="1767">
        <v>0</v>
      </c>
      <c r="W43" s="1767">
        <v>0</v>
      </c>
      <c r="X43" s="1767">
        <v>0</v>
      </c>
      <c r="Y43" s="1767">
        <v>0</v>
      </c>
      <c r="Z43" s="1767">
        <v>0</v>
      </c>
      <c r="AA43" s="1767">
        <v>0</v>
      </c>
      <c r="AB43" s="1767">
        <v>0</v>
      </c>
      <c r="AC43" s="1767">
        <v>0</v>
      </c>
      <c r="AD43" s="1767">
        <v>0</v>
      </c>
      <c r="AE43" s="1767">
        <v>0</v>
      </c>
      <c r="AF43" s="1767">
        <v>0</v>
      </c>
      <c r="AG43" s="1767">
        <v>0</v>
      </c>
      <c r="AH43" s="1767">
        <v>0</v>
      </c>
      <c r="AI43" s="1767">
        <v>0</v>
      </c>
      <c r="AJ43" s="1767">
        <v>0</v>
      </c>
      <c r="AK43" s="1767">
        <v>0</v>
      </c>
      <c r="AL43" s="1767">
        <v>0</v>
      </c>
      <c r="AM43" s="1767">
        <v>0</v>
      </c>
      <c r="AN43" s="1767">
        <v>0</v>
      </c>
      <c r="AO43" s="1767">
        <v>0</v>
      </c>
      <c r="AP43" s="1767">
        <v>0</v>
      </c>
      <c r="AQ43" s="1767">
        <v>0</v>
      </c>
      <c r="AR43" s="1767">
        <v>0</v>
      </c>
      <c r="AS43" s="1767">
        <v>0</v>
      </c>
      <c r="AT43" s="1767">
        <v>0</v>
      </c>
      <c r="AU43" s="1767">
        <v>0</v>
      </c>
      <c r="AV43" s="1767">
        <v>0</v>
      </c>
      <c r="AW43" s="1767">
        <v>0</v>
      </c>
      <c r="AX43" s="1767">
        <v>0</v>
      </c>
      <c r="AY43" s="1767">
        <v>0</v>
      </c>
      <c r="AZ43" s="1767">
        <v>0</v>
      </c>
      <c r="BA43" s="1767">
        <v>0</v>
      </c>
      <c r="BB43" s="1767">
        <v>0</v>
      </c>
      <c r="BC43" s="1767">
        <v>0</v>
      </c>
      <c r="BD43" s="1767">
        <v>0</v>
      </c>
      <c r="BE43" s="1767">
        <v>0</v>
      </c>
      <c r="BF43" s="1767">
        <v>0</v>
      </c>
      <c r="BG43" s="1767">
        <v>0</v>
      </c>
      <c r="BH43" s="1767">
        <v>0</v>
      </c>
      <c r="BI43" s="1767">
        <v>0</v>
      </c>
      <c r="BJ43" s="1767">
        <v>0</v>
      </c>
      <c r="BK43" s="1767">
        <v>0</v>
      </c>
      <c r="BL43" s="1767">
        <v>0</v>
      </c>
      <c r="BM43" s="1767">
        <v>0</v>
      </c>
      <c r="BN43" s="1767">
        <v>0</v>
      </c>
      <c r="BO43" s="1767">
        <v>0</v>
      </c>
      <c r="BP43" s="1767">
        <v>0</v>
      </c>
      <c r="BQ43" s="1767">
        <v>0</v>
      </c>
      <c r="BR43" s="1767">
        <v>0</v>
      </c>
      <c r="BS43" s="1767">
        <v>0</v>
      </c>
      <c r="BT43" s="1767">
        <v>0</v>
      </c>
      <c r="BU43" s="1767">
        <v>0</v>
      </c>
      <c r="BV43" s="1767">
        <v>0</v>
      </c>
      <c r="BW43" s="1767">
        <v>0</v>
      </c>
      <c r="BX43" s="1767">
        <v>0</v>
      </c>
      <c r="BY43" s="1767">
        <v>0</v>
      </c>
      <c r="BZ43" s="1767">
        <v>0</v>
      </c>
      <c r="CA43" s="1767">
        <v>0</v>
      </c>
      <c r="CB43" s="1767">
        <v>0</v>
      </c>
      <c r="CC43" s="1767">
        <v>0</v>
      </c>
      <c r="CD43" s="1767">
        <v>0</v>
      </c>
      <c r="CE43" s="1767">
        <v>0</v>
      </c>
      <c r="CF43" s="1767">
        <v>0</v>
      </c>
      <c r="CG43" s="1767">
        <v>0</v>
      </c>
      <c r="CH43" s="1767">
        <v>0</v>
      </c>
      <c r="CI43" s="1767">
        <v>0</v>
      </c>
      <c r="CJ43" s="1767">
        <v>0</v>
      </c>
      <c r="CK43" s="1767">
        <v>0</v>
      </c>
      <c r="CL43" s="1767">
        <v>0</v>
      </c>
      <c r="CM43" s="1767">
        <v>0</v>
      </c>
      <c r="CN43" s="1767">
        <v>0</v>
      </c>
      <c r="CO43" s="1767">
        <v>0</v>
      </c>
      <c r="CP43" s="1767">
        <v>0</v>
      </c>
    </row>
    <row r="44" spans="1:94" ht="43.5" customHeight="1" thickBot="1" x14ac:dyDescent="0.25">
      <c r="A44" s="1858" t="s">
        <v>1282</v>
      </c>
      <c r="B44" s="1856" t="s">
        <v>653</v>
      </c>
      <c r="C44" s="1778" t="s">
        <v>2508</v>
      </c>
      <c r="D44" s="946"/>
      <c r="E44" s="1844" t="s">
        <v>1835</v>
      </c>
      <c r="F44" s="1225"/>
      <c r="G44" s="1742"/>
      <c r="H44" s="1742"/>
      <c r="I44" s="1742"/>
      <c r="J44" s="1742"/>
      <c r="K44" s="1742"/>
      <c r="L44" s="1742"/>
      <c r="M44" s="1742"/>
      <c r="N44" s="1742"/>
      <c r="O44" s="1742"/>
      <c r="P44" s="1742"/>
      <c r="Q44" s="1742"/>
      <c r="R44" s="1742"/>
      <c r="S44" s="1742"/>
      <c r="T44" s="1742"/>
      <c r="U44" s="1742"/>
      <c r="V44" s="1742"/>
      <c r="W44" s="1742"/>
      <c r="X44" s="1742"/>
      <c r="Y44" s="1742"/>
      <c r="Z44" s="1742"/>
      <c r="AA44" s="1742"/>
      <c r="AB44" s="1742"/>
      <c r="AC44" s="1742"/>
      <c r="AD44" s="1742"/>
      <c r="AE44" s="1742"/>
      <c r="AF44" s="1742"/>
      <c r="AG44" s="1742"/>
      <c r="AH44" s="1742"/>
      <c r="AI44" s="1742"/>
      <c r="AJ44" s="1742"/>
      <c r="AK44" s="1742"/>
      <c r="AL44" s="1742"/>
      <c r="AM44" s="1742"/>
      <c r="AN44" s="1742"/>
      <c r="AO44" s="1742"/>
      <c r="AP44" s="1742"/>
      <c r="AQ44" s="1742"/>
      <c r="AR44" s="1742"/>
      <c r="AS44" s="1742"/>
      <c r="AT44" s="1742"/>
      <c r="AU44" s="1742"/>
      <c r="AV44" s="1742"/>
      <c r="AW44" s="1742"/>
      <c r="AX44" s="1742"/>
      <c r="AY44" s="1742"/>
      <c r="AZ44" s="1742"/>
      <c r="BA44" s="1742"/>
      <c r="BB44" s="1742"/>
      <c r="BC44" s="1742"/>
      <c r="BD44" s="1742"/>
      <c r="BE44" s="1742"/>
      <c r="BF44" s="1742"/>
      <c r="BG44" s="1742"/>
      <c r="BH44" s="1742"/>
      <c r="BI44" s="1742"/>
      <c r="BJ44" s="1742"/>
      <c r="BK44" s="1742"/>
      <c r="BL44" s="1742"/>
      <c r="BM44" s="1742"/>
      <c r="BN44" s="1742"/>
      <c r="BO44" s="1742"/>
      <c r="BP44" s="1742"/>
      <c r="BQ44" s="1742"/>
      <c r="BR44" s="1742"/>
      <c r="BS44" s="1742"/>
      <c r="BT44" s="1742"/>
      <c r="BU44" s="1742"/>
      <c r="BV44" s="1742"/>
      <c r="BW44" s="1742"/>
      <c r="BX44" s="1742"/>
      <c r="BY44" s="1742"/>
      <c r="BZ44" s="1742"/>
      <c r="CA44" s="1742"/>
      <c r="CB44" s="1742"/>
      <c r="CC44" s="1742"/>
      <c r="CD44" s="1742"/>
      <c r="CE44" s="1742"/>
      <c r="CF44" s="1742"/>
      <c r="CG44" s="1742"/>
      <c r="CH44" s="1742"/>
      <c r="CI44" s="1742"/>
      <c r="CJ44" s="1742"/>
      <c r="CK44" s="1742"/>
      <c r="CL44" s="1742"/>
      <c r="CM44" s="1742"/>
      <c r="CN44" s="1742"/>
      <c r="CO44" s="1742"/>
      <c r="CP44" s="1742"/>
    </row>
    <row r="45" spans="1:94" ht="15.75" customHeight="1" x14ac:dyDescent="0.2">
      <c r="A45" s="1847"/>
      <c r="B45" s="1856"/>
      <c r="C45" s="652" t="s">
        <v>58</v>
      </c>
      <c r="D45" s="936"/>
      <c r="E45" s="1844"/>
      <c r="F45" s="1225"/>
      <c r="G45" s="1767">
        <v>0</v>
      </c>
      <c r="H45" s="1767">
        <v>0</v>
      </c>
      <c r="I45" s="1767">
        <v>0</v>
      </c>
      <c r="J45" s="1767">
        <v>0</v>
      </c>
      <c r="K45" s="1767">
        <v>0</v>
      </c>
      <c r="L45" s="1767">
        <v>0</v>
      </c>
      <c r="M45" s="1767">
        <v>0</v>
      </c>
      <c r="N45" s="1767">
        <v>0</v>
      </c>
      <c r="O45" s="1767">
        <v>0</v>
      </c>
      <c r="P45" s="1767">
        <v>0</v>
      </c>
      <c r="Q45" s="1767">
        <v>0</v>
      </c>
      <c r="R45" s="1767">
        <v>0</v>
      </c>
      <c r="S45" s="1767">
        <v>0</v>
      </c>
      <c r="T45" s="1767">
        <v>0</v>
      </c>
      <c r="U45" s="1767">
        <v>0</v>
      </c>
      <c r="V45" s="1767">
        <v>0</v>
      </c>
      <c r="W45" s="1767">
        <v>0</v>
      </c>
      <c r="X45" s="1767">
        <v>0</v>
      </c>
      <c r="Y45" s="1767">
        <v>0</v>
      </c>
      <c r="Z45" s="1767">
        <v>0</v>
      </c>
      <c r="AA45" s="1767">
        <v>0</v>
      </c>
      <c r="AB45" s="1767">
        <v>0</v>
      </c>
      <c r="AC45" s="1767">
        <v>0</v>
      </c>
      <c r="AD45" s="1767">
        <v>0</v>
      </c>
      <c r="AE45" s="1767">
        <v>0</v>
      </c>
      <c r="AF45" s="1767">
        <v>0</v>
      </c>
      <c r="AG45" s="1767">
        <v>0</v>
      </c>
      <c r="AH45" s="1767">
        <v>0</v>
      </c>
      <c r="AI45" s="1767">
        <v>0</v>
      </c>
      <c r="AJ45" s="1767">
        <v>0</v>
      </c>
      <c r="AK45" s="1767">
        <v>0</v>
      </c>
      <c r="AL45" s="1767">
        <v>0</v>
      </c>
      <c r="AM45" s="1767">
        <v>0</v>
      </c>
      <c r="AN45" s="1767">
        <v>0</v>
      </c>
      <c r="AO45" s="1767">
        <v>0</v>
      </c>
      <c r="AP45" s="1767">
        <v>0</v>
      </c>
      <c r="AQ45" s="1767">
        <v>0</v>
      </c>
      <c r="AR45" s="1767">
        <v>0</v>
      </c>
      <c r="AS45" s="1767">
        <v>0</v>
      </c>
      <c r="AT45" s="1767">
        <v>0</v>
      </c>
      <c r="AU45" s="1767">
        <v>0</v>
      </c>
      <c r="AV45" s="1767">
        <v>0</v>
      </c>
      <c r="AW45" s="1767">
        <v>0</v>
      </c>
      <c r="AX45" s="1767">
        <v>0</v>
      </c>
      <c r="AY45" s="1767">
        <v>0</v>
      </c>
      <c r="AZ45" s="1767">
        <v>0</v>
      </c>
      <c r="BA45" s="1767">
        <v>0</v>
      </c>
      <c r="BB45" s="1767">
        <v>0</v>
      </c>
      <c r="BC45" s="1767">
        <v>0</v>
      </c>
      <c r="BD45" s="1767">
        <v>0</v>
      </c>
      <c r="BE45" s="1767">
        <v>0</v>
      </c>
      <c r="BF45" s="1767">
        <v>0</v>
      </c>
      <c r="BG45" s="1767">
        <v>0</v>
      </c>
      <c r="BH45" s="1767">
        <v>0</v>
      </c>
      <c r="BI45" s="1767">
        <v>0</v>
      </c>
      <c r="BJ45" s="1767">
        <v>0</v>
      </c>
      <c r="BK45" s="1767">
        <v>0</v>
      </c>
      <c r="BL45" s="1767">
        <v>0</v>
      </c>
      <c r="BM45" s="1767">
        <v>0</v>
      </c>
      <c r="BN45" s="1767">
        <v>0</v>
      </c>
      <c r="BO45" s="1767">
        <v>0</v>
      </c>
      <c r="BP45" s="1767">
        <v>0</v>
      </c>
      <c r="BQ45" s="1767">
        <v>0</v>
      </c>
      <c r="BR45" s="1767">
        <v>0</v>
      </c>
      <c r="BS45" s="1767">
        <v>0</v>
      </c>
      <c r="BT45" s="1767">
        <v>0</v>
      </c>
      <c r="BU45" s="1767">
        <v>0</v>
      </c>
      <c r="BV45" s="1767">
        <v>0</v>
      </c>
      <c r="BW45" s="1767">
        <v>0</v>
      </c>
      <c r="BX45" s="1767">
        <v>0</v>
      </c>
      <c r="BY45" s="1767">
        <v>0</v>
      </c>
      <c r="BZ45" s="1767">
        <v>0</v>
      </c>
      <c r="CA45" s="1767">
        <v>0</v>
      </c>
      <c r="CB45" s="1767">
        <v>0</v>
      </c>
      <c r="CC45" s="1767">
        <v>0</v>
      </c>
      <c r="CD45" s="1767">
        <v>0</v>
      </c>
      <c r="CE45" s="1767">
        <v>0</v>
      </c>
      <c r="CF45" s="1767">
        <v>0</v>
      </c>
      <c r="CG45" s="1767">
        <v>0</v>
      </c>
      <c r="CH45" s="1767">
        <v>0</v>
      </c>
      <c r="CI45" s="1767">
        <v>0</v>
      </c>
      <c r="CJ45" s="1767">
        <v>0</v>
      </c>
      <c r="CK45" s="1767">
        <v>0</v>
      </c>
      <c r="CL45" s="1767">
        <v>0</v>
      </c>
      <c r="CM45" s="1767">
        <v>0</v>
      </c>
      <c r="CN45" s="1767">
        <v>0</v>
      </c>
      <c r="CO45" s="1767">
        <v>0</v>
      </c>
      <c r="CP45" s="1767">
        <v>0</v>
      </c>
    </row>
    <row r="46" spans="1:94" ht="16.5" customHeight="1" thickBot="1" x14ac:dyDescent="0.25">
      <c r="A46" s="1847"/>
      <c r="B46" s="1856"/>
      <c r="C46" s="800" t="s">
        <v>59</v>
      </c>
      <c r="D46" s="949"/>
      <c r="E46" s="1844"/>
      <c r="F46" s="1225"/>
      <c r="G46" s="1767">
        <v>0</v>
      </c>
      <c r="H46" s="1767">
        <v>0</v>
      </c>
      <c r="I46" s="1767">
        <v>0</v>
      </c>
      <c r="J46" s="1767">
        <v>0</v>
      </c>
      <c r="K46" s="1767">
        <v>0</v>
      </c>
      <c r="L46" s="1767">
        <v>0</v>
      </c>
      <c r="M46" s="1767">
        <v>0</v>
      </c>
      <c r="N46" s="1767">
        <v>0</v>
      </c>
      <c r="O46" s="1767">
        <v>0</v>
      </c>
      <c r="P46" s="1767">
        <v>0</v>
      </c>
      <c r="Q46" s="1767">
        <v>0</v>
      </c>
      <c r="R46" s="1767">
        <v>0</v>
      </c>
      <c r="S46" s="1767">
        <v>0</v>
      </c>
      <c r="T46" s="1767">
        <v>0</v>
      </c>
      <c r="U46" s="1767">
        <v>0</v>
      </c>
      <c r="V46" s="1767">
        <v>0</v>
      </c>
      <c r="W46" s="1767">
        <v>0</v>
      </c>
      <c r="X46" s="1767">
        <v>0</v>
      </c>
      <c r="Y46" s="1767">
        <v>0</v>
      </c>
      <c r="Z46" s="1767">
        <v>0</v>
      </c>
      <c r="AA46" s="1767">
        <v>0</v>
      </c>
      <c r="AB46" s="1767">
        <v>0</v>
      </c>
      <c r="AC46" s="1767">
        <v>0</v>
      </c>
      <c r="AD46" s="1767">
        <v>0</v>
      </c>
      <c r="AE46" s="1767">
        <v>0</v>
      </c>
      <c r="AF46" s="1767">
        <v>0</v>
      </c>
      <c r="AG46" s="1767">
        <v>0</v>
      </c>
      <c r="AH46" s="1767">
        <v>0</v>
      </c>
      <c r="AI46" s="1767">
        <v>0</v>
      </c>
      <c r="AJ46" s="1767">
        <v>0</v>
      </c>
      <c r="AK46" s="1767">
        <v>0</v>
      </c>
      <c r="AL46" s="1767">
        <v>0</v>
      </c>
      <c r="AM46" s="1767">
        <v>0</v>
      </c>
      <c r="AN46" s="1767">
        <v>0</v>
      </c>
      <c r="AO46" s="1767">
        <v>0</v>
      </c>
      <c r="AP46" s="1767">
        <v>0</v>
      </c>
      <c r="AQ46" s="1767">
        <v>0</v>
      </c>
      <c r="AR46" s="1767">
        <v>0</v>
      </c>
      <c r="AS46" s="1767">
        <v>0</v>
      </c>
      <c r="AT46" s="1767">
        <v>0</v>
      </c>
      <c r="AU46" s="1767">
        <v>0</v>
      </c>
      <c r="AV46" s="1767">
        <v>0</v>
      </c>
      <c r="AW46" s="1767">
        <v>0</v>
      </c>
      <c r="AX46" s="1767">
        <v>0</v>
      </c>
      <c r="AY46" s="1767">
        <v>0</v>
      </c>
      <c r="AZ46" s="1767">
        <v>0</v>
      </c>
      <c r="BA46" s="1767">
        <v>0</v>
      </c>
      <c r="BB46" s="1767">
        <v>0</v>
      </c>
      <c r="BC46" s="1767">
        <v>0</v>
      </c>
      <c r="BD46" s="1767">
        <v>0</v>
      </c>
      <c r="BE46" s="1767">
        <v>0</v>
      </c>
      <c r="BF46" s="1767">
        <v>0</v>
      </c>
      <c r="BG46" s="1767">
        <v>0</v>
      </c>
      <c r="BH46" s="1767">
        <v>0</v>
      </c>
      <c r="BI46" s="1767">
        <v>0</v>
      </c>
      <c r="BJ46" s="1767">
        <v>0</v>
      </c>
      <c r="BK46" s="1767">
        <v>0</v>
      </c>
      <c r="BL46" s="1767">
        <v>0</v>
      </c>
      <c r="BM46" s="1767">
        <v>0</v>
      </c>
      <c r="BN46" s="1767">
        <v>0</v>
      </c>
      <c r="BO46" s="1767">
        <v>0</v>
      </c>
      <c r="BP46" s="1767">
        <v>0</v>
      </c>
      <c r="BQ46" s="1767">
        <v>0</v>
      </c>
      <c r="BR46" s="1767">
        <v>0</v>
      </c>
      <c r="BS46" s="1767">
        <v>0</v>
      </c>
      <c r="BT46" s="1767">
        <v>0</v>
      </c>
      <c r="BU46" s="1767">
        <v>0</v>
      </c>
      <c r="BV46" s="1767">
        <v>0</v>
      </c>
      <c r="BW46" s="1767">
        <v>0</v>
      </c>
      <c r="BX46" s="1767">
        <v>0</v>
      </c>
      <c r="BY46" s="1767">
        <v>0</v>
      </c>
      <c r="BZ46" s="1767">
        <v>0</v>
      </c>
      <c r="CA46" s="1767">
        <v>0</v>
      </c>
      <c r="CB46" s="1767">
        <v>0</v>
      </c>
      <c r="CC46" s="1767">
        <v>0</v>
      </c>
      <c r="CD46" s="1767">
        <v>0</v>
      </c>
      <c r="CE46" s="1767">
        <v>0</v>
      </c>
      <c r="CF46" s="1767">
        <v>0</v>
      </c>
      <c r="CG46" s="1767">
        <v>0</v>
      </c>
      <c r="CH46" s="1767">
        <v>0</v>
      </c>
      <c r="CI46" s="1767">
        <v>0</v>
      </c>
      <c r="CJ46" s="1767">
        <v>0</v>
      </c>
      <c r="CK46" s="1767">
        <v>0</v>
      </c>
      <c r="CL46" s="1767">
        <v>0</v>
      </c>
      <c r="CM46" s="1767">
        <v>0</v>
      </c>
      <c r="CN46" s="1767">
        <v>0</v>
      </c>
      <c r="CO46" s="1767">
        <v>0</v>
      </c>
      <c r="CP46" s="1767">
        <v>0</v>
      </c>
    </row>
    <row r="47" spans="1:94" ht="30" customHeight="1" thickBot="1" x14ac:dyDescent="0.25">
      <c r="A47" s="1849" t="s">
        <v>1283</v>
      </c>
      <c r="B47" s="1846" t="s">
        <v>19</v>
      </c>
      <c r="C47" s="1777" t="s">
        <v>2343</v>
      </c>
      <c r="D47" s="947"/>
      <c r="E47" s="1843" t="s">
        <v>1951</v>
      </c>
      <c r="F47" s="1225"/>
      <c r="G47" s="1742"/>
      <c r="H47" s="1742"/>
      <c r="I47" s="1742"/>
      <c r="J47" s="1742"/>
      <c r="K47" s="1742"/>
      <c r="L47" s="1742"/>
      <c r="M47" s="1742"/>
      <c r="N47" s="1742"/>
      <c r="O47" s="1742"/>
      <c r="P47" s="1742"/>
      <c r="Q47" s="1742"/>
      <c r="R47" s="1742"/>
      <c r="S47" s="1742"/>
      <c r="T47" s="1742"/>
      <c r="U47" s="1742"/>
      <c r="V47" s="1742"/>
      <c r="W47" s="1742"/>
      <c r="X47" s="1742"/>
      <c r="Y47" s="1742"/>
      <c r="Z47" s="1742"/>
      <c r="AA47" s="1742"/>
      <c r="AB47" s="1742"/>
      <c r="AC47" s="1742"/>
      <c r="AD47" s="1742"/>
      <c r="AE47" s="1742"/>
      <c r="AF47" s="1742"/>
      <c r="AG47" s="1742"/>
      <c r="AH47" s="1742"/>
      <c r="AI47" s="1742"/>
      <c r="AJ47" s="1742"/>
      <c r="AK47" s="1742"/>
      <c r="AL47" s="1742"/>
      <c r="AM47" s="1742"/>
      <c r="AN47" s="1742"/>
      <c r="AO47" s="1742"/>
      <c r="AP47" s="1742"/>
      <c r="AQ47" s="1742"/>
      <c r="AR47" s="1742"/>
      <c r="AS47" s="1742"/>
      <c r="AT47" s="1742"/>
      <c r="AU47" s="1742"/>
      <c r="AV47" s="1742"/>
      <c r="AW47" s="1742"/>
      <c r="AX47" s="1742"/>
      <c r="AY47" s="1742"/>
      <c r="AZ47" s="1742"/>
      <c r="BA47" s="1742"/>
      <c r="BB47" s="1742"/>
      <c r="BC47" s="1742"/>
      <c r="BD47" s="1742"/>
      <c r="BE47" s="1742"/>
      <c r="BF47" s="1742"/>
      <c r="BG47" s="1742"/>
      <c r="BH47" s="1742"/>
      <c r="BI47" s="1742"/>
      <c r="BJ47" s="1742"/>
      <c r="BK47" s="1742"/>
      <c r="BL47" s="1742"/>
      <c r="BM47" s="1742"/>
      <c r="BN47" s="1742"/>
      <c r="BO47" s="1742"/>
      <c r="BP47" s="1742"/>
      <c r="BQ47" s="1742"/>
      <c r="BR47" s="1742"/>
      <c r="BS47" s="1742"/>
      <c r="BT47" s="1742"/>
      <c r="BU47" s="1742"/>
      <c r="BV47" s="1742"/>
      <c r="BW47" s="1742"/>
      <c r="BX47" s="1742"/>
      <c r="BY47" s="1742"/>
      <c r="BZ47" s="1742"/>
      <c r="CA47" s="1742"/>
      <c r="CB47" s="1742"/>
      <c r="CC47" s="1742"/>
      <c r="CD47" s="1742"/>
      <c r="CE47" s="1742"/>
      <c r="CF47" s="1742"/>
      <c r="CG47" s="1742"/>
      <c r="CH47" s="1742"/>
      <c r="CI47" s="1742"/>
      <c r="CJ47" s="1742"/>
      <c r="CK47" s="1742"/>
      <c r="CL47" s="1742"/>
      <c r="CM47" s="1742"/>
      <c r="CN47" s="1742"/>
      <c r="CO47" s="1742"/>
      <c r="CP47" s="1742"/>
    </row>
    <row r="48" spans="1:94" ht="15" customHeight="1" x14ac:dyDescent="0.2">
      <c r="A48" s="1847"/>
      <c r="B48" s="1856"/>
      <c r="C48" s="652" t="s">
        <v>2087</v>
      </c>
      <c r="D48" s="936"/>
      <c r="E48" s="1844"/>
      <c r="F48" s="1225"/>
      <c r="G48" s="1767">
        <v>0</v>
      </c>
      <c r="H48" s="1767">
        <v>0</v>
      </c>
      <c r="I48" s="1767">
        <v>0</v>
      </c>
      <c r="J48" s="1767">
        <v>0</v>
      </c>
      <c r="K48" s="1767">
        <v>0</v>
      </c>
      <c r="L48" s="1767">
        <v>0</v>
      </c>
      <c r="M48" s="1767">
        <v>0</v>
      </c>
      <c r="N48" s="1767">
        <v>0</v>
      </c>
      <c r="O48" s="1767">
        <v>0</v>
      </c>
      <c r="P48" s="1767">
        <v>0</v>
      </c>
      <c r="Q48" s="1767">
        <v>0</v>
      </c>
      <c r="R48" s="1767">
        <v>0</v>
      </c>
      <c r="S48" s="1767">
        <v>0</v>
      </c>
      <c r="T48" s="1767">
        <v>0</v>
      </c>
      <c r="U48" s="1767">
        <v>0</v>
      </c>
      <c r="V48" s="1767">
        <v>0</v>
      </c>
      <c r="W48" s="1767">
        <v>0</v>
      </c>
      <c r="X48" s="1767">
        <v>0</v>
      </c>
      <c r="Y48" s="1767">
        <v>0</v>
      </c>
      <c r="Z48" s="1767">
        <v>0</v>
      </c>
      <c r="AA48" s="1767">
        <v>0</v>
      </c>
      <c r="AB48" s="1767">
        <v>0</v>
      </c>
      <c r="AC48" s="1767">
        <v>0</v>
      </c>
      <c r="AD48" s="1767">
        <v>0</v>
      </c>
      <c r="AE48" s="1767">
        <v>0</v>
      </c>
      <c r="AF48" s="1767">
        <v>0</v>
      </c>
      <c r="AG48" s="1767">
        <v>0</v>
      </c>
      <c r="AH48" s="1767">
        <v>0</v>
      </c>
      <c r="AI48" s="1767">
        <v>0</v>
      </c>
      <c r="AJ48" s="1767">
        <v>0</v>
      </c>
      <c r="AK48" s="1767">
        <v>0</v>
      </c>
      <c r="AL48" s="1767">
        <v>0</v>
      </c>
      <c r="AM48" s="1767">
        <v>0</v>
      </c>
      <c r="AN48" s="1767">
        <v>0</v>
      </c>
      <c r="AO48" s="1767">
        <v>0</v>
      </c>
      <c r="AP48" s="1767">
        <v>0</v>
      </c>
      <c r="AQ48" s="1767">
        <v>0</v>
      </c>
      <c r="AR48" s="1767">
        <v>0</v>
      </c>
      <c r="AS48" s="1767">
        <v>0</v>
      </c>
      <c r="AT48" s="1767">
        <v>0</v>
      </c>
      <c r="AU48" s="1767">
        <v>0</v>
      </c>
      <c r="AV48" s="1767">
        <v>0</v>
      </c>
      <c r="AW48" s="1767">
        <v>0</v>
      </c>
      <c r="AX48" s="1767">
        <v>0</v>
      </c>
      <c r="AY48" s="1767">
        <v>0</v>
      </c>
      <c r="AZ48" s="1767">
        <v>0</v>
      </c>
      <c r="BA48" s="1767">
        <v>0</v>
      </c>
      <c r="BB48" s="1767">
        <v>0</v>
      </c>
      <c r="BC48" s="1767">
        <v>0</v>
      </c>
      <c r="BD48" s="1767">
        <v>0</v>
      </c>
      <c r="BE48" s="1767">
        <v>0</v>
      </c>
      <c r="BF48" s="1767">
        <v>0</v>
      </c>
      <c r="BG48" s="1767">
        <v>0</v>
      </c>
      <c r="BH48" s="1767">
        <v>0</v>
      </c>
      <c r="BI48" s="1767">
        <v>0</v>
      </c>
      <c r="BJ48" s="1767">
        <v>0</v>
      </c>
      <c r="BK48" s="1767">
        <v>0</v>
      </c>
      <c r="BL48" s="1767">
        <v>0</v>
      </c>
      <c r="BM48" s="1767">
        <v>0</v>
      </c>
      <c r="BN48" s="1767">
        <v>0</v>
      </c>
      <c r="BO48" s="1767">
        <v>0</v>
      </c>
      <c r="BP48" s="1767">
        <v>0</v>
      </c>
      <c r="BQ48" s="1767">
        <v>0</v>
      </c>
      <c r="BR48" s="1767">
        <v>0</v>
      </c>
      <c r="BS48" s="1767">
        <v>0</v>
      </c>
      <c r="BT48" s="1767">
        <v>0</v>
      </c>
      <c r="BU48" s="1767">
        <v>0</v>
      </c>
      <c r="BV48" s="1767">
        <v>0</v>
      </c>
      <c r="BW48" s="1767">
        <v>0</v>
      </c>
      <c r="BX48" s="1767">
        <v>0</v>
      </c>
      <c r="BY48" s="1767">
        <v>0</v>
      </c>
      <c r="BZ48" s="1767">
        <v>0</v>
      </c>
      <c r="CA48" s="1767">
        <v>0</v>
      </c>
      <c r="CB48" s="1767">
        <v>0</v>
      </c>
      <c r="CC48" s="1767">
        <v>0</v>
      </c>
      <c r="CD48" s="1767">
        <v>0</v>
      </c>
      <c r="CE48" s="1767">
        <v>0</v>
      </c>
      <c r="CF48" s="1767">
        <v>0</v>
      </c>
      <c r="CG48" s="1767">
        <v>0</v>
      </c>
      <c r="CH48" s="1767">
        <v>0</v>
      </c>
      <c r="CI48" s="1767">
        <v>0</v>
      </c>
      <c r="CJ48" s="1767">
        <v>0</v>
      </c>
      <c r="CK48" s="1767">
        <v>0</v>
      </c>
      <c r="CL48" s="1767">
        <v>0</v>
      </c>
      <c r="CM48" s="1767">
        <v>0</v>
      </c>
      <c r="CN48" s="1767">
        <v>0</v>
      </c>
      <c r="CO48" s="1767">
        <v>0</v>
      </c>
      <c r="CP48" s="1767">
        <v>0</v>
      </c>
    </row>
    <row r="49" spans="1:94" ht="15" customHeight="1" x14ac:dyDescent="0.2">
      <c r="A49" s="1847"/>
      <c r="B49" s="1856"/>
      <c r="C49" s="653" t="s">
        <v>541</v>
      </c>
      <c r="D49" s="936"/>
      <c r="E49" s="1844"/>
      <c r="F49" s="1225"/>
      <c r="G49" s="1767">
        <v>0</v>
      </c>
      <c r="H49" s="1767">
        <v>0</v>
      </c>
      <c r="I49" s="1767">
        <v>0</v>
      </c>
      <c r="J49" s="1767">
        <v>0</v>
      </c>
      <c r="K49" s="1767">
        <v>0</v>
      </c>
      <c r="L49" s="1767">
        <v>0</v>
      </c>
      <c r="M49" s="1767">
        <v>0</v>
      </c>
      <c r="N49" s="1767">
        <v>0</v>
      </c>
      <c r="O49" s="1767">
        <v>0</v>
      </c>
      <c r="P49" s="1767">
        <v>0</v>
      </c>
      <c r="Q49" s="1767">
        <v>0</v>
      </c>
      <c r="R49" s="1767">
        <v>0</v>
      </c>
      <c r="S49" s="1767">
        <v>0</v>
      </c>
      <c r="T49" s="1767">
        <v>0</v>
      </c>
      <c r="U49" s="1767">
        <v>0</v>
      </c>
      <c r="V49" s="1767">
        <v>0</v>
      </c>
      <c r="W49" s="1767">
        <v>0</v>
      </c>
      <c r="X49" s="1767">
        <v>0</v>
      </c>
      <c r="Y49" s="1767">
        <v>0</v>
      </c>
      <c r="Z49" s="1767">
        <v>0</v>
      </c>
      <c r="AA49" s="1767">
        <v>0</v>
      </c>
      <c r="AB49" s="1767">
        <v>0</v>
      </c>
      <c r="AC49" s="1767">
        <v>0</v>
      </c>
      <c r="AD49" s="1767">
        <v>0</v>
      </c>
      <c r="AE49" s="1767">
        <v>0</v>
      </c>
      <c r="AF49" s="1767">
        <v>0</v>
      </c>
      <c r="AG49" s="1767">
        <v>0</v>
      </c>
      <c r="AH49" s="1767">
        <v>0</v>
      </c>
      <c r="AI49" s="1767">
        <v>0</v>
      </c>
      <c r="AJ49" s="1767">
        <v>0</v>
      </c>
      <c r="AK49" s="1767">
        <v>0</v>
      </c>
      <c r="AL49" s="1767">
        <v>0</v>
      </c>
      <c r="AM49" s="1767">
        <v>0</v>
      </c>
      <c r="AN49" s="1767">
        <v>0</v>
      </c>
      <c r="AO49" s="1767">
        <v>0</v>
      </c>
      <c r="AP49" s="1767">
        <v>0</v>
      </c>
      <c r="AQ49" s="1767">
        <v>0</v>
      </c>
      <c r="AR49" s="1767">
        <v>0</v>
      </c>
      <c r="AS49" s="1767">
        <v>0</v>
      </c>
      <c r="AT49" s="1767">
        <v>0</v>
      </c>
      <c r="AU49" s="1767">
        <v>0</v>
      </c>
      <c r="AV49" s="1767">
        <v>0</v>
      </c>
      <c r="AW49" s="1767">
        <v>0</v>
      </c>
      <c r="AX49" s="1767">
        <v>0</v>
      </c>
      <c r="AY49" s="1767">
        <v>0</v>
      </c>
      <c r="AZ49" s="1767">
        <v>0</v>
      </c>
      <c r="BA49" s="1767">
        <v>0</v>
      </c>
      <c r="BB49" s="1767">
        <v>0</v>
      </c>
      <c r="BC49" s="1767">
        <v>0</v>
      </c>
      <c r="BD49" s="1767">
        <v>0</v>
      </c>
      <c r="BE49" s="1767">
        <v>0</v>
      </c>
      <c r="BF49" s="1767">
        <v>0</v>
      </c>
      <c r="BG49" s="1767">
        <v>0</v>
      </c>
      <c r="BH49" s="1767">
        <v>0</v>
      </c>
      <c r="BI49" s="1767">
        <v>0</v>
      </c>
      <c r="BJ49" s="1767">
        <v>0</v>
      </c>
      <c r="BK49" s="1767">
        <v>0</v>
      </c>
      <c r="BL49" s="1767">
        <v>0</v>
      </c>
      <c r="BM49" s="1767">
        <v>0</v>
      </c>
      <c r="BN49" s="1767">
        <v>0</v>
      </c>
      <c r="BO49" s="1767">
        <v>0</v>
      </c>
      <c r="BP49" s="1767">
        <v>0</v>
      </c>
      <c r="BQ49" s="1767">
        <v>0</v>
      </c>
      <c r="BR49" s="1767">
        <v>0</v>
      </c>
      <c r="BS49" s="1767">
        <v>0</v>
      </c>
      <c r="BT49" s="1767">
        <v>0</v>
      </c>
      <c r="BU49" s="1767">
        <v>0</v>
      </c>
      <c r="BV49" s="1767">
        <v>0</v>
      </c>
      <c r="BW49" s="1767">
        <v>0</v>
      </c>
      <c r="BX49" s="1767">
        <v>0</v>
      </c>
      <c r="BY49" s="1767">
        <v>0</v>
      </c>
      <c r="BZ49" s="1767">
        <v>0</v>
      </c>
      <c r="CA49" s="1767">
        <v>0</v>
      </c>
      <c r="CB49" s="1767">
        <v>0</v>
      </c>
      <c r="CC49" s="1767">
        <v>0</v>
      </c>
      <c r="CD49" s="1767">
        <v>0</v>
      </c>
      <c r="CE49" s="1767">
        <v>0</v>
      </c>
      <c r="CF49" s="1767">
        <v>0</v>
      </c>
      <c r="CG49" s="1767">
        <v>0</v>
      </c>
      <c r="CH49" s="1767">
        <v>0</v>
      </c>
      <c r="CI49" s="1767">
        <v>0</v>
      </c>
      <c r="CJ49" s="1767">
        <v>0</v>
      </c>
      <c r="CK49" s="1767">
        <v>0</v>
      </c>
      <c r="CL49" s="1767">
        <v>0</v>
      </c>
      <c r="CM49" s="1767">
        <v>0</v>
      </c>
      <c r="CN49" s="1767">
        <v>0</v>
      </c>
      <c r="CO49" s="1767">
        <v>0</v>
      </c>
      <c r="CP49" s="1767">
        <v>0</v>
      </c>
    </row>
    <row r="50" spans="1:94" ht="15" customHeight="1" x14ac:dyDescent="0.2">
      <c r="A50" s="1847"/>
      <c r="B50" s="1856"/>
      <c r="C50" s="653" t="s">
        <v>542</v>
      </c>
      <c r="D50" s="936"/>
      <c r="E50" s="1844"/>
      <c r="F50" s="1225"/>
      <c r="G50" s="1767">
        <v>0</v>
      </c>
      <c r="H50" s="1767">
        <v>0</v>
      </c>
      <c r="I50" s="1767">
        <v>0</v>
      </c>
      <c r="J50" s="1767">
        <v>0</v>
      </c>
      <c r="K50" s="1767">
        <v>0</v>
      </c>
      <c r="L50" s="1767">
        <v>0</v>
      </c>
      <c r="M50" s="1767">
        <v>0</v>
      </c>
      <c r="N50" s="1767">
        <v>0</v>
      </c>
      <c r="O50" s="1767">
        <v>0</v>
      </c>
      <c r="P50" s="1767">
        <v>0</v>
      </c>
      <c r="Q50" s="1767">
        <v>0</v>
      </c>
      <c r="R50" s="1767">
        <v>0</v>
      </c>
      <c r="S50" s="1767">
        <v>0</v>
      </c>
      <c r="T50" s="1767">
        <v>0</v>
      </c>
      <c r="U50" s="1767">
        <v>0</v>
      </c>
      <c r="V50" s="1767">
        <v>0</v>
      </c>
      <c r="W50" s="1767">
        <v>0</v>
      </c>
      <c r="X50" s="1767">
        <v>0</v>
      </c>
      <c r="Y50" s="1767">
        <v>0</v>
      </c>
      <c r="Z50" s="1767">
        <v>0</v>
      </c>
      <c r="AA50" s="1767">
        <v>0</v>
      </c>
      <c r="AB50" s="1767">
        <v>0</v>
      </c>
      <c r="AC50" s="1767">
        <v>0</v>
      </c>
      <c r="AD50" s="1767">
        <v>0</v>
      </c>
      <c r="AE50" s="1767">
        <v>0</v>
      </c>
      <c r="AF50" s="1767">
        <v>0</v>
      </c>
      <c r="AG50" s="1767">
        <v>0</v>
      </c>
      <c r="AH50" s="1767">
        <v>0</v>
      </c>
      <c r="AI50" s="1767">
        <v>0</v>
      </c>
      <c r="AJ50" s="1767">
        <v>0</v>
      </c>
      <c r="AK50" s="1767">
        <v>0</v>
      </c>
      <c r="AL50" s="1767">
        <v>0</v>
      </c>
      <c r="AM50" s="1767">
        <v>0</v>
      </c>
      <c r="AN50" s="1767">
        <v>0</v>
      </c>
      <c r="AO50" s="1767">
        <v>0</v>
      </c>
      <c r="AP50" s="1767">
        <v>0</v>
      </c>
      <c r="AQ50" s="1767">
        <v>0</v>
      </c>
      <c r="AR50" s="1767">
        <v>0</v>
      </c>
      <c r="AS50" s="1767">
        <v>0</v>
      </c>
      <c r="AT50" s="1767">
        <v>0</v>
      </c>
      <c r="AU50" s="1767">
        <v>0</v>
      </c>
      <c r="AV50" s="1767">
        <v>0</v>
      </c>
      <c r="AW50" s="1767">
        <v>0</v>
      </c>
      <c r="AX50" s="1767">
        <v>0</v>
      </c>
      <c r="AY50" s="1767">
        <v>0</v>
      </c>
      <c r="AZ50" s="1767">
        <v>0</v>
      </c>
      <c r="BA50" s="1767">
        <v>0</v>
      </c>
      <c r="BB50" s="1767">
        <v>0</v>
      </c>
      <c r="BC50" s="1767">
        <v>0</v>
      </c>
      <c r="BD50" s="1767">
        <v>0</v>
      </c>
      <c r="BE50" s="1767">
        <v>0</v>
      </c>
      <c r="BF50" s="1767">
        <v>0</v>
      </c>
      <c r="BG50" s="1767">
        <v>0</v>
      </c>
      <c r="BH50" s="1767">
        <v>0</v>
      </c>
      <c r="BI50" s="1767">
        <v>0</v>
      </c>
      <c r="BJ50" s="1767">
        <v>0</v>
      </c>
      <c r="BK50" s="1767">
        <v>0</v>
      </c>
      <c r="BL50" s="1767">
        <v>0</v>
      </c>
      <c r="BM50" s="1767">
        <v>0</v>
      </c>
      <c r="BN50" s="1767">
        <v>0</v>
      </c>
      <c r="BO50" s="1767">
        <v>0</v>
      </c>
      <c r="BP50" s="1767">
        <v>0</v>
      </c>
      <c r="BQ50" s="1767">
        <v>0</v>
      </c>
      <c r="BR50" s="1767">
        <v>0</v>
      </c>
      <c r="BS50" s="1767">
        <v>0</v>
      </c>
      <c r="BT50" s="1767">
        <v>0</v>
      </c>
      <c r="BU50" s="1767">
        <v>0</v>
      </c>
      <c r="BV50" s="1767">
        <v>0</v>
      </c>
      <c r="BW50" s="1767">
        <v>0</v>
      </c>
      <c r="BX50" s="1767">
        <v>0</v>
      </c>
      <c r="BY50" s="1767">
        <v>0</v>
      </c>
      <c r="BZ50" s="1767">
        <v>0</v>
      </c>
      <c r="CA50" s="1767">
        <v>0</v>
      </c>
      <c r="CB50" s="1767">
        <v>0</v>
      </c>
      <c r="CC50" s="1767">
        <v>0</v>
      </c>
      <c r="CD50" s="1767">
        <v>0</v>
      </c>
      <c r="CE50" s="1767">
        <v>0</v>
      </c>
      <c r="CF50" s="1767">
        <v>0</v>
      </c>
      <c r="CG50" s="1767">
        <v>0</v>
      </c>
      <c r="CH50" s="1767">
        <v>0</v>
      </c>
      <c r="CI50" s="1767">
        <v>0</v>
      </c>
      <c r="CJ50" s="1767">
        <v>0</v>
      </c>
      <c r="CK50" s="1767">
        <v>0</v>
      </c>
      <c r="CL50" s="1767">
        <v>0</v>
      </c>
      <c r="CM50" s="1767">
        <v>0</v>
      </c>
      <c r="CN50" s="1767">
        <v>0</v>
      </c>
      <c r="CO50" s="1767">
        <v>0</v>
      </c>
      <c r="CP50" s="1767">
        <v>0</v>
      </c>
    </row>
    <row r="51" spans="1:94" ht="15" customHeight="1" x14ac:dyDescent="0.2">
      <c r="A51" s="1847"/>
      <c r="B51" s="1856"/>
      <c r="C51" s="653" t="s">
        <v>543</v>
      </c>
      <c r="D51" s="936"/>
      <c r="E51" s="1844"/>
      <c r="F51" s="1225"/>
      <c r="G51" s="1767">
        <v>0</v>
      </c>
      <c r="H51" s="1767">
        <v>0</v>
      </c>
      <c r="I51" s="1767">
        <v>0</v>
      </c>
      <c r="J51" s="1767">
        <v>0</v>
      </c>
      <c r="K51" s="1767">
        <v>0</v>
      </c>
      <c r="L51" s="1767">
        <v>0</v>
      </c>
      <c r="M51" s="1767">
        <v>0</v>
      </c>
      <c r="N51" s="1767">
        <v>0</v>
      </c>
      <c r="O51" s="1767">
        <v>0</v>
      </c>
      <c r="P51" s="1767">
        <v>0</v>
      </c>
      <c r="Q51" s="1767">
        <v>0</v>
      </c>
      <c r="R51" s="1767">
        <v>0</v>
      </c>
      <c r="S51" s="1767">
        <v>0</v>
      </c>
      <c r="T51" s="1767">
        <v>0</v>
      </c>
      <c r="U51" s="1767">
        <v>0</v>
      </c>
      <c r="V51" s="1767">
        <v>0</v>
      </c>
      <c r="W51" s="1767">
        <v>0</v>
      </c>
      <c r="X51" s="1767">
        <v>0</v>
      </c>
      <c r="Y51" s="1767">
        <v>0</v>
      </c>
      <c r="Z51" s="1767">
        <v>0</v>
      </c>
      <c r="AA51" s="1767">
        <v>0</v>
      </c>
      <c r="AB51" s="1767">
        <v>0</v>
      </c>
      <c r="AC51" s="1767">
        <v>0</v>
      </c>
      <c r="AD51" s="1767">
        <v>0</v>
      </c>
      <c r="AE51" s="1767">
        <v>0</v>
      </c>
      <c r="AF51" s="1767">
        <v>0</v>
      </c>
      <c r="AG51" s="1767">
        <v>0</v>
      </c>
      <c r="AH51" s="1767">
        <v>0</v>
      </c>
      <c r="AI51" s="1767">
        <v>0</v>
      </c>
      <c r="AJ51" s="1767">
        <v>0</v>
      </c>
      <c r="AK51" s="1767">
        <v>0</v>
      </c>
      <c r="AL51" s="1767">
        <v>0</v>
      </c>
      <c r="AM51" s="1767">
        <v>0</v>
      </c>
      <c r="AN51" s="1767">
        <v>0</v>
      </c>
      <c r="AO51" s="1767">
        <v>0</v>
      </c>
      <c r="AP51" s="1767">
        <v>0</v>
      </c>
      <c r="AQ51" s="1767">
        <v>0</v>
      </c>
      <c r="AR51" s="1767">
        <v>0</v>
      </c>
      <c r="AS51" s="1767">
        <v>0</v>
      </c>
      <c r="AT51" s="1767">
        <v>0</v>
      </c>
      <c r="AU51" s="1767">
        <v>0</v>
      </c>
      <c r="AV51" s="1767">
        <v>0</v>
      </c>
      <c r="AW51" s="1767">
        <v>0</v>
      </c>
      <c r="AX51" s="1767">
        <v>0</v>
      </c>
      <c r="AY51" s="1767">
        <v>0</v>
      </c>
      <c r="AZ51" s="1767">
        <v>0</v>
      </c>
      <c r="BA51" s="1767">
        <v>0</v>
      </c>
      <c r="BB51" s="1767">
        <v>0</v>
      </c>
      <c r="BC51" s="1767">
        <v>0</v>
      </c>
      <c r="BD51" s="1767">
        <v>0</v>
      </c>
      <c r="BE51" s="1767">
        <v>0</v>
      </c>
      <c r="BF51" s="1767">
        <v>0</v>
      </c>
      <c r="BG51" s="1767">
        <v>0</v>
      </c>
      <c r="BH51" s="1767">
        <v>0</v>
      </c>
      <c r="BI51" s="1767">
        <v>0</v>
      </c>
      <c r="BJ51" s="1767">
        <v>0</v>
      </c>
      <c r="BK51" s="1767">
        <v>0</v>
      </c>
      <c r="BL51" s="1767">
        <v>0</v>
      </c>
      <c r="BM51" s="1767">
        <v>0</v>
      </c>
      <c r="BN51" s="1767">
        <v>0</v>
      </c>
      <c r="BO51" s="1767">
        <v>0</v>
      </c>
      <c r="BP51" s="1767">
        <v>0</v>
      </c>
      <c r="BQ51" s="1767">
        <v>0</v>
      </c>
      <c r="BR51" s="1767">
        <v>0</v>
      </c>
      <c r="BS51" s="1767">
        <v>0</v>
      </c>
      <c r="BT51" s="1767">
        <v>0</v>
      </c>
      <c r="BU51" s="1767">
        <v>0</v>
      </c>
      <c r="BV51" s="1767">
        <v>0</v>
      </c>
      <c r="BW51" s="1767">
        <v>0</v>
      </c>
      <c r="BX51" s="1767">
        <v>0</v>
      </c>
      <c r="BY51" s="1767">
        <v>0</v>
      </c>
      <c r="BZ51" s="1767">
        <v>0</v>
      </c>
      <c r="CA51" s="1767">
        <v>0</v>
      </c>
      <c r="CB51" s="1767">
        <v>0</v>
      </c>
      <c r="CC51" s="1767">
        <v>0</v>
      </c>
      <c r="CD51" s="1767">
        <v>0</v>
      </c>
      <c r="CE51" s="1767">
        <v>0</v>
      </c>
      <c r="CF51" s="1767">
        <v>0</v>
      </c>
      <c r="CG51" s="1767">
        <v>0</v>
      </c>
      <c r="CH51" s="1767">
        <v>0</v>
      </c>
      <c r="CI51" s="1767">
        <v>0</v>
      </c>
      <c r="CJ51" s="1767">
        <v>0</v>
      </c>
      <c r="CK51" s="1767">
        <v>0</v>
      </c>
      <c r="CL51" s="1767">
        <v>0</v>
      </c>
      <c r="CM51" s="1767">
        <v>0</v>
      </c>
      <c r="CN51" s="1767">
        <v>0</v>
      </c>
      <c r="CO51" s="1767">
        <v>0</v>
      </c>
      <c r="CP51" s="1767">
        <v>0</v>
      </c>
    </row>
    <row r="52" spans="1:94" ht="15" customHeight="1" thickBot="1" x14ac:dyDescent="0.25">
      <c r="A52" s="1848"/>
      <c r="B52" s="1857"/>
      <c r="C52" s="654" t="s">
        <v>544</v>
      </c>
      <c r="D52" s="950"/>
      <c r="E52" s="1845"/>
      <c r="F52" s="1225"/>
      <c r="G52" s="1767">
        <v>0</v>
      </c>
      <c r="H52" s="1767">
        <v>0</v>
      </c>
      <c r="I52" s="1767">
        <v>0</v>
      </c>
      <c r="J52" s="1767">
        <v>0</v>
      </c>
      <c r="K52" s="1767">
        <v>0</v>
      </c>
      <c r="L52" s="1767">
        <v>0</v>
      </c>
      <c r="M52" s="1767">
        <v>0</v>
      </c>
      <c r="N52" s="1767">
        <v>0</v>
      </c>
      <c r="O52" s="1767">
        <v>0</v>
      </c>
      <c r="P52" s="1767">
        <v>0</v>
      </c>
      <c r="Q52" s="1767">
        <v>0</v>
      </c>
      <c r="R52" s="1767">
        <v>0</v>
      </c>
      <c r="S52" s="1767">
        <v>0</v>
      </c>
      <c r="T52" s="1767">
        <v>0</v>
      </c>
      <c r="U52" s="1767">
        <v>0</v>
      </c>
      <c r="V52" s="1767">
        <v>0</v>
      </c>
      <c r="W52" s="1767">
        <v>0</v>
      </c>
      <c r="X52" s="1767">
        <v>0</v>
      </c>
      <c r="Y52" s="1767">
        <v>0</v>
      </c>
      <c r="Z52" s="1767">
        <v>0</v>
      </c>
      <c r="AA52" s="1767">
        <v>0</v>
      </c>
      <c r="AB52" s="1767">
        <v>0</v>
      </c>
      <c r="AC52" s="1767">
        <v>0</v>
      </c>
      <c r="AD52" s="1767">
        <v>0</v>
      </c>
      <c r="AE52" s="1767">
        <v>0</v>
      </c>
      <c r="AF52" s="1767">
        <v>0</v>
      </c>
      <c r="AG52" s="1767">
        <v>0</v>
      </c>
      <c r="AH52" s="1767">
        <v>0</v>
      </c>
      <c r="AI52" s="1767">
        <v>0</v>
      </c>
      <c r="AJ52" s="1767">
        <v>0</v>
      </c>
      <c r="AK52" s="1767">
        <v>0</v>
      </c>
      <c r="AL52" s="1767">
        <v>0</v>
      </c>
      <c r="AM52" s="1767">
        <v>0</v>
      </c>
      <c r="AN52" s="1767">
        <v>0</v>
      </c>
      <c r="AO52" s="1767">
        <v>0</v>
      </c>
      <c r="AP52" s="1767">
        <v>0</v>
      </c>
      <c r="AQ52" s="1767">
        <v>0</v>
      </c>
      <c r="AR52" s="1767">
        <v>0</v>
      </c>
      <c r="AS52" s="1767">
        <v>0</v>
      </c>
      <c r="AT52" s="1767">
        <v>0</v>
      </c>
      <c r="AU52" s="1767">
        <v>0</v>
      </c>
      <c r="AV52" s="1767">
        <v>0</v>
      </c>
      <c r="AW52" s="1767">
        <v>0</v>
      </c>
      <c r="AX52" s="1767">
        <v>0</v>
      </c>
      <c r="AY52" s="1767">
        <v>0</v>
      </c>
      <c r="AZ52" s="1767">
        <v>0</v>
      </c>
      <c r="BA52" s="1767">
        <v>0</v>
      </c>
      <c r="BB52" s="1767">
        <v>0</v>
      </c>
      <c r="BC52" s="1767">
        <v>0</v>
      </c>
      <c r="BD52" s="1767">
        <v>0</v>
      </c>
      <c r="BE52" s="1767">
        <v>0</v>
      </c>
      <c r="BF52" s="1767">
        <v>0</v>
      </c>
      <c r="BG52" s="1767">
        <v>0</v>
      </c>
      <c r="BH52" s="1767">
        <v>0</v>
      </c>
      <c r="BI52" s="1767">
        <v>0</v>
      </c>
      <c r="BJ52" s="1767">
        <v>0</v>
      </c>
      <c r="BK52" s="1767">
        <v>0</v>
      </c>
      <c r="BL52" s="1767">
        <v>0</v>
      </c>
      <c r="BM52" s="1767">
        <v>0</v>
      </c>
      <c r="BN52" s="1767">
        <v>0</v>
      </c>
      <c r="BO52" s="1767">
        <v>0</v>
      </c>
      <c r="BP52" s="1767">
        <v>0</v>
      </c>
      <c r="BQ52" s="1767">
        <v>0</v>
      </c>
      <c r="BR52" s="1767">
        <v>0</v>
      </c>
      <c r="BS52" s="1767">
        <v>0</v>
      </c>
      <c r="BT52" s="1767">
        <v>0</v>
      </c>
      <c r="BU52" s="1767">
        <v>0</v>
      </c>
      <c r="BV52" s="1767">
        <v>0</v>
      </c>
      <c r="BW52" s="1767">
        <v>0</v>
      </c>
      <c r="BX52" s="1767">
        <v>0</v>
      </c>
      <c r="BY52" s="1767">
        <v>0</v>
      </c>
      <c r="BZ52" s="1767">
        <v>0</v>
      </c>
      <c r="CA52" s="1767">
        <v>0</v>
      </c>
      <c r="CB52" s="1767">
        <v>0</v>
      </c>
      <c r="CC52" s="1767">
        <v>0</v>
      </c>
      <c r="CD52" s="1767">
        <v>0</v>
      </c>
      <c r="CE52" s="1767">
        <v>0</v>
      </c>
      <c r="CF52" s="1767">
        <v>0</v>
      </c>
      <c r="CG52" s="1767">
        <v>0</v>
      </c>
      <c r="CH52" s="1767">
        <v>0</v>
      </c>
      <c r="CI52" s="1767">
        <v>0</v>
      </c>
      <c r="CJ52" s="1767">
        <v>0</v>
      </c>
      <c r="CK52" s="1767">
        <v>0</v>
      </c>
      <c r="CL52" s="1767">
        <v>0</v>
      </c>
      <c r="CM52" s="1767">
        <v>0</v>
      </c>
      <c r="CN52" s="1767">
        <v>0</v>
      </c>
      <c r="CO52" s="1767">
        <v>0</v>
      </c>
      <c r="CP52" s="1767">
        <v>0</v>
      </c>
    </row>
    <row r="53" spans="1:94" ht="28.5" customHeight="1" thickBot="1" x14ac:dyDescent="0.25">
      <c r="A53" s="1887" t="s">
        <v>1284</v>
      </c>
      <c r="B53" s="1846" t="s">
        <v>1692</v>
      </c>
      <c r="C53" s="1777" t="s">
        <v>2509</v>
      </c>
      <c r="D53" s="947"/>
      <c r="E53" s="1843" t="s">
        <v>1836</v>
      </c>
      <c r="F53" s="1225"/>
      <c r="G53" s="1742"/>
      <c r="H53" s="1742"/>
      <c r="I53" s="1742"/>
      <c r="J53" s="1742"/>
      <c r="K53" s="1742"/>
      <c r="L53" s="1742"/>
      <c r="M53" s="1742"/>
      <c r="N53" s="1742"/>
      <c r="O53" s="1742"/>
      <c r="P53" s="1742"/>
      <c r="Q53" s="1742"/>
      <c r="R53" s="1742"/>
      <c r="S53" s="1742"/>
      <c r="T53" s="1742"/>
      <c r="U53" s="1742"/>
      <c r="V53" s="1742"/>
      <c r="W53" s="1742"/>
      <c r="X53" s="1742"/>
      <c r="Y53" s="1742"/>
      <c r="Z53" s="1742"/>
      <c r="AA53" s="1742"/>
      <c r="AB53" s="1742"/>
      <c r="AC53" s="1742"/>
      <c r="AD53" s="1742"/>
      <c r="AE53" s="1742"/>
      <c r="AF53" s="1742"/>
      <c r="AG53" s="1742"/>
      <c r="AH53" s="1742"/>
      <c r="AI53" s="1742"/>
      <c r="AJ53" s="1742"/>
      <c r="AK53" s="1742"/>
      <c r="AL53" s="1742"/>
      <c r="AM53" s="1742"/>
      <c r="AN53" s="1742"/>
      <c r="AO53" s="1742"/>
      <c r="AP53" s="1742"/>
      <c r="AQ53" s="1742"/>
      <c r="AR53" s="1742"/>
      <c r="AS53" s="1742"/>
      <c r="AT53" s="1742"/>
      <c r="AU53" s="1742"/>
      <c r="AV53" s="1742"/>
      <c r="AW53" s="1742"/>
      <c r="AX53" s="1742"/>
      <c r="AY53" s="1742"/>
      <c r="AZ53" s="1742"/>
      <c r="BA53" s="1742"/>
      <c r="BB53" s="1742"/>
      <c r="BC53" s="1742"/>
      <c r="BD53" s="1742"/>
      <c r="BE53" s="1742"/>
      <c r="BF53" s="1742"/>
      <c r="BG53" s="1742"/>
      <c r="BH53" s="1742"/>
      <c r="BI53" s="1742"/>
      <c r="BJ53" s="1742"/>
      <c r="BK53" s="1742"/>
      <c r="BL53" s="1742"/>
      <c r="BM53" s="1742"/>
      <c r="BN53" s="1742"/>
      <c r="BO53" s="1742"/>
      <c r="BP53" s="1742"/>
      <c r="BQ53" s="1742"/>
      <c r="BR53" s="1742"/>
      <c r="BS53" s="1742"/>
      <c r="BT53" s="1742"/>
      <c r="BU53" s="1742"/>
      <c r="BV53" s="1742"/>
      <c r="BW53" s="1742"/>
      <c r="BX53" s="1742"/>
      <c r="BY53" s="1742"/>
      <c r="BZ53" s="1742"/>
      <c r="CA53" s="1742"/>
      <c r="CB53" s="1742"/>
      <c r="CC53" s="1742"/>
      <c r="CD53" s="1742"/>
      <c r="CE53" s="1742"/>
      <c r="CF53" s="1742"/>
      <c r="CG53" s="1742"/>
      <c r="CH53" s="1742"/>
      <c r="CI53" s="1742"/>
      <c r="CJ53" s="1742"/>
      <c r="CK53" s="1742"/>
      <c r="CL53" s="1742"/>
      <c r="CM53" s="1742"/>
      <c r="CN53" s="1742"/>
      <c r="CO53" s="1742"/>
      <c r="CP53" s="1742"/>
    </row>
    <row r="54" spans="1:94" ht="14.25" customHeight="1" x14ac:dyDescent="0.2">
      <c r="A54" s="1858"/>
      <c r="B54" s="1856"/>
      <c r="C54" s="652" t="s">
        <v>1950</v>
      </c>
      <c r="D54" s="936"/>
      <c r="E54" s="1844"/>
      <c r="F54" s="1225"/>
      <c r="G54" s="1767">
        <v>0</v>
      </c>
      <c r="H54" s="1767">
        <v>0</v>
      </c>
      <c r="I54" s="1767">
        <v>0</v>
      </c>
      <c r="J54" s="1767">
        <v>0</v>
      </c>
      <c r="K54" s="1767">
        <v>0</v>
      </c>
      <c r="L54" s="1767">
        <v>0</v>
      </c>
      <c r="M54" s="1767">
        <v>0</v>
      </c>
      <c r="N54" s="1767">
        <v>0</v>
      </c>
      <c r="O54" s="1767">
        <v>0</v>
      </c>
      <c r="P54" s="1767">
        <v>0</v>
      </c>
      <c r="Q54" s="1767">
        <v>0</v>
      </c>
      <c r="R54" s="1767">
        <v>0</v>
      </c>
      <c r="S54" s="1767">
        <v>0</v>
      </c>
      <c r="T54" s="1767">
        <v>0</v>
      </c>
      <c r="U54" s="1767">
        <v>0</v>
      </c>
      <c r="V54" s="1767">
        <v>0</v>
      </c>
      <c r="W54" s="1767">
        <v>0</v>
      </c>
      <c r="X54" s="1767">
        <v>0</v>
      </c>
      <c r="Y54" s="1767">
        <v>0</v>
      </c>
      <c r="Z54" s="1767">
        <v>0</v>
      </c>
      <c r="AA54" s="1767">
        <v>0</v>
      </c>
      <c r="AB54" s="1767">
        <v>0</v>
      </c>
      <c r="AC54" s="1767">
        <v>0</v>
      </c>
      <c r="AD54" s="1767">
        <v>0</v>
      </c>
      <c r="AE54" s="1767">
        <v>0</v>
      </c>
      <c r="AF54" s="1767">
        <v>0</v>
      </c>
      <c r="AG54" s="1767">
        <v>0</v>
      </c>
      <c r="AH54" s="1767">
        <v>0</v>
      </c>
      <c r="AI54" s="1767">
        <v>0</v>
      </c>
      <c r="AJ54" s="1767">
        <v>0</v>
      </c>
      <c r="AK54" s="1767">
        <v>0</v>
      </c>
      <c r="AL54" s="1767">
        <v>0</v>
      </c>
      <c r="AM54" s="1767">
        <v>0</v>
      </c>
      <c r="AN54" s="1767">
        <v>0</v>
      </c>
      <c r="AO54" s="1767">
        <v>0</v>
      </c>
      <c r="AP54" s="1767">
        <v>0</v>
      </c>
      <c r="AQ54" s="1767">
        <v>0</v>
      </c>
      <c r="AR54" s="1767">
        <v>0</v>
      </c>
      <c r="AS54" s="1767">
        <v>0</v>
      </c>
      <c r="AT54" s="1767">
        <v>0</v>
      </c>
      <c r="AU54" s="1767">
        <v>0</v>
      </c>
      <c r="AV54" s="1767">
        <v>0</v>
      </c>
      <c r="AW54" s="1767">
        <v>0</v>
      </c>
      <c r="AX54" s="1767">
        <v>0</v>
      </c>
      <c r="AY54" s="1767">
        <v>0</v>
      </c>
      <c r="AZ54" s="1767">
        <v>0</v>
      </c>
      <c r="BA54" s="1767">
        <v>0</v>
      </c>
      <c r="BB54" s="1767">
        <v>0</v>
      </c>
      <c r="BC54" s="1767">
        <v>0</v>
      </c>
      <c r="BD54" s="1767">
        <v>0</v>
      </c>
      <c r="BE54" s="1767">
        <v>0</v>
      </c>
      <c r="BF54" s="1767">
        <v>0</v>
      </c>
      <c r="BG54" s="1767">
        <v>0</v>
      </c>
      <c r="BH54" s="1767">
        <v>0</v>
      </c>
      <c r="BI54" s="1767">
        <v>0</v>
      </c>
      <c r="BJ54" s="1767">
        <v>0</v>
      </c>
      <c r="BK54" s="1767">
        <v>0</v>
      </c>
      <c r="BL54" s="1767">
        <v>0</v>
      </c>
      <c r="BM54" s="1767">
        <v>0</v>
      </c>
      <c r="BN54" s="1767">
        <v>0</v>
      </c>
      <c r="BO54" s="1767">
        <v>0</v>
      </c>
      <c r="BP54" s="1767">
        <v>0</v>
      </c>
      <c r="BQ54" s="1767">
        <v>0</v>
      </c>
      <c r="BR54" s="1767">
        <v>0</v>
      </c>
      <c r="BS54" s="1767">
        <v>0</v>
      </c>
      <c r="BT54" s="1767">
        <v>0</v>
      </c>
      <c r="BU54" s="1767">
        <v>0</v>
      </c>
      <c r="BV54" s="1767">
        <v>0</v>
      </c>
      <c r="BW54" s="1767">
        <v>0</v>
      </c>
      <c r="BX54" s="1767">
        <v>0</v>
      </c>
      <c r="BY54" s="1767">
        <v>0</v>
      </c>
      <c r="BZ54" s="1767">
        <v>0</v>
      </c>
      <c r="CA54" s="1767">
        <v>0</v>
      </c>
      <c r="CB54" s="1767">
        <v>0</v>
      </c>
      <c r="CC54" s="1767">
        <v>0</v>
      </c>
      <c r="CD54" s="1767">
        <v>0</v>
      </c>
      <c r="CE54" s="1767">
        <v>0</v>
      </c>
      <c r="CF54" s="1767">
        <v>0</v>
      </c>
      <c r="CG54" s="1767">
        <v>0</v>
      </c>
      <c r="CH54" s="1767">
        <v>0</v>
      </c>
      <c r="CI54" s="1767">
        <v>0</v>
      </c>
      <c r="CJ54" s="1767">
        <v>0</v>
      </c>
      <c r="CK54" s="1767">
        <v>0</v>
      </c>
      <c r="CL54" s="1767">
        <v>0</v>
      </c>
      <c r="CM54" s="1767">
        <v>0</v>
      </c>
      <c r="CN54" s="1767">
        <v>0</v>
      </c>
      <c r="CO54" s="1767">
        <v>0</v>
      </c>
      <c r="CP54" s="1767">
        <v>0</v>
      </c>
    </row>
    <row r="55" spans="1:94" ht="15" customHeight="1" x14ac:dyDescent="0.2">
      <c r="A55" s="1858"/>
      <c r="B55" s="1856"/>
      <c r="C55" s="652" t="s">
        <v>1693</v>
      </c>
      <c r="D55" s="936"/>
      <c r="E55" s="1844"/>
      <c r="F55" s="1225"/>
      <c r="G55" s="1767">
        <v>0</v>
      </c>
      <c r="H55" s="1767">
        <v>0</v>
      </c>
      <c r="I55" s="1767">
        <v>0</v>
      </c>
      <c r="J55" s="1767">
        <v>0</v>
      </c>
      <c r="K55" s="1767">
        <v>0</v>
      </c>
      <c r="L55" s="1767">
        <v>0</v>
      </c>
      <c r="M55" s="1767">
        <v>0</v>
      </c>
      <c r="N55" s="1767">
        <v>0</v>
      </c>
      <c r="O55" s="1767">
        <v>0</v>
      </c>
      <c r="P55" s="1767">
        <v>0</v>
      </c>
      <c r="Q55" s="1767">
        <v>0</v>
      </c>
      <c r="R55" s="1767">
        <v>0</v>
      </c>
      <c r="S55" s="1767">
        <v>0</v>
      </c>
      <c r="T55" s="1767">
        <v>0</v>
      </c>
      <c r="U55" s="1767">
        <v>0</v>
      </c>
      <c r="V55" s="1767">
        <v>0</v>
      </c>
      <c r="W55" s="1767">
        <v>0</v>
      </c>
      <c r="X55" s="1767">
        <v>0</v>
      </c>
      <c r="Y55" s="1767">
        <v>0</v>
      </c>
      <c r="Z55" s="1767">
        <v>0</v>
      </c>
      <c r="AA55" s="1767">
        <v>0</v>
      </c>
      <c r="AB55" s="1767">
        <v>0</v>
      </c>
      <c r="AC55" s="1767">
        <v>0</v>
      </c>
      <c r="AD55" s="1767">
        <v>0</v>
      </c>
      <c r="AE55" s="1767">
        <v>0</v>
      </c>
      <c r="AF55" s="1767">
        <v>0</v>
      </c>
      <c r="AG55" s="1767">
        <v>0</v>
      </c>
      <c r="AH55" s="1767">
        <v>0</v>
      </c>
      <c r="AI55" s="1767">
        <v>0</v>
      </c>
      <c r="AJ55" s="1767">
        <v>0</v>
      </c>
      <c r="AK55" s="1767">
        <v>0</v>
      </c>
      <c r="AL55" s="1767">
        <v>0</v>
      </c>
      <c r="AM55" s="1767">
        <v>0</v>
      </c>
      <c r="AN55" s="1767">
        <v>0</v>
      </c>
      <c r="AO55" s="1767">
        <v>0</v>
      </c>
      <c r="AP55" s="1767">
        <v>0</v>
      </c>
      <c r="AQ55" s="1767">
        <v>0</v>
      </c>
      <c r="AR55" s="1767">
        <v>0</v>
      </c>
      <c r="AS55" s="1767">
        <v>0</v>
      </c>
      <c r="AT55" s="1767">
        <v>0</v>
      </c>
      <c r="AU55" s="1767">
        <v>0</v>
      </c>
      <c r="AV55" s="1767">
        <v>0</v>
      </c>
      <c r="AW55" s="1767">
        <v>0</v>
      </c>
      <c r="AX55" s="1767">
        <v>0</v>
      </c>
      <c r="AY55" s="1767">
        <v>0</v>
      </c>
      <c r="AZ55" s="1767">
        <v>0</v>
      </c>
      <c r="BA55" s="1767">
        <v>0</v>
      </c>
      <c r="BB55" s="1767">
        <v>0</v>
      </c>
      <c r="BC55" s="1767">
        <v>0</v>
      </c>
      <c r="BD55" s="1767">
        <v>0</v>
      </c>
      <c r="BE55" s="1767">
        <v>0</v>
      </c>
      <c r="BF55" s="1767">
        <v>0</v>
      </c>
      <c r="BG55" s="1767">
        <v>0</v>
      </c>
      <c r="BH55" s="1767">
        <v>0</v>
      </c>
      <c r="BI55" s="1767">
        <v>0</v>
      </c>
      <c r="BJ55" s="1767">
        <v>0</v>
      </c>
      <c r="BK55" s="1767">
        <v>0</v>
      </c>
      <c r="BL55" s="1767">
        <v>0</v>
      </c>
      <c r="BM55" s="1767">
        <v>0</v>
      </c>
      <c r="BN55" s="1767">
        <v>0</v>
      </c>
      <c r="BO55" s="1767">
        <v>0</v>
      </c>
      <c r="BP55" s="1767">
        <v>0</v>
      </c>
      <c r="BQ55" s="1767">
        <v>0</v>
      </c>
      <c r="BR55" s="1767">
        <v>0</v>
      </c>
      <c r="BS55" s="1767">
        <v>0</v>
      </c>
      <c r="BT55" s="1767">
        <v>0</v>
      </c>
      <c r="BU55" s="1767">
        <v>0</v>
      </c>
      <c r="BV55" s="1767">
        <v>0</v>
      </c>
      <c r="BW55" s="1767">
        <v>0</v>
      </c>
      <c r="BX55" s="1767">
        <v>0</v>
      </c>
      <c r="BY55" s="1767">
        <v>0</v>
      </c>
      <c r="BZ55" s="1767">
        <v>0</v>
      </c>
      <c r="CA55" s="1767">
        <v>0</v>
      </c>
      <c r="CB55" s="1767">
        <v>0</v>
      </c>
      <c r="CC55" s="1767">
        <v>0</v>
      </c>
      <c r="CD55" s="1767">
        <v>0</v>
      </c>
      <c r="CE55" s="1767">
        <v>0</v>
      </c>
      <c r="CF55" s="1767">
        <v>0</v>
      </c>
      <c r="CG55" s="1767">
        <v>0</v>
      </c>
      <c r="CH55" s="1767">
        <v>0</v>
      </c>
      <c r="CI55" s="1767">
        <v>0</v>
      </c>
      <c r="CJ55" s="1767">
        <v>0</v>
      </c>
      <c r="CK55" s="1767">
        <v>0</v>
      </c>
      <c r="CL55" s="1767">
        <v>0</v>
      </c>
      <c r="CM55" s="1767">
        <v>0</v>
      </c>
      <c r="CN55" s="1767">
        <v>0</v>
      </c>
      <c r="CO55" s="1767">
        <v>0</v>
      </c>
      <c r="CP55" s="1767">
        <v>0</v>
      </c>
    </row>
    <row r="56" spans="1:94" ht="15" customHeight="1" thickBot="1" x14ac:dyDescent="0.25">
      <c r="A56" s="1858"/>
      <c r="B56" s="1856"/>
      <c r="C56" s="658" t="s">
        <v>1694</v>
      </c>
      <c r="D56" s="949"/>
      <c r="E56" s="1844"/>
      <c r="F56" s="1225"/>
      <c r="G56" s="1767">
        <v>0</v>
      </c>
      <c r="H56" s="1767">
        <v>0</v>
      </c>
      <c r="I56" s="1767">
        <v>0</v>
      </c>
      <c r="J56" s="1767">
        <v>0</v>
      </c>
      <c r="K56" s="1767">
        <v>0</v>
      </c>
      <c r="L56" s="1767">
        <v>0</v>
      </c>
      <c r="M56" s="1767">
        <v>0</v>
      </c>
      <c r="N56" s="1767">
        <v>0</v>
      </c>
      <c r="O56" s="1767">
        <v>0</v>
      </c>
      <c r="P56" s="1767">
        <v>0</v>
      </c>
      <c r="Q56" s="1767">
        <v>0</v>
      </c>
      <c r="R56" s="1767">
        <v>0</v>
      </c>
      <c r="S56" s="1767">
        <v>0</v>
      </c>
      <c r="T56" s="1767">
        <v>0</v>
      </c>
      <c r="U56" s="1767">
        <v>0</v>
      </c>
      <c r="V56" s="1767">
        <v>0</v>
      </c>
      <c r="W56" s="1767">
        <v>0</v>
      </c>
      <c r="X56" s="1767">
        <v>0</v>
      </c>
      <c r="Y56" s="1767">
        <v>0</v>
      </c>
      <c r="Z56" s="1767">
        <v>0</v>
      </c>
      <c r="AA56" s="1767">
        <v>0</v>
      </c>
      <c r="AB56" s="1767">
        <v>0</v>
      </c>
      <c r="AC56" s="1767">
        <v>0</v>
      </c>
      <c r="AD56" s="1767">
        <v>0</v>
      </c>
      <c r="AE56" s="1767">
        <v>0</v>
      </c>
      <c r="AF56" s="1767">
        <v>0</v>
      </c>
      <c r="AG56" s="1767">
        <v>0</v>
      </c>
      <c r="AH56" s="1767">
        <v>0</v>
      </c>
      <c r="AI56" s="1767">
        <v>0</v>
      </c>
      <c r="AJ56" s="1767">
        <v>0</v>
      </c>
      <c r="AK56" s="1767">
        <v>0</v>
      </c>
      <c r="AL56" s="1767">
        <v>0</v>
      </c>
      <c r="AM56" s="1767">
        <v>0</v>
      </c>
      <c r="AN56" s="1767">
        <v>0</v>
      </c>
      <c r="AO56" s="1767">
        <v>0</v>
      </c>
      <c r="AP56" s="1767">
        <v>0</v>
      </c>
      <c r="AQ56" s="1767">
        <v>0</v>
      </c>
      <c r="AR56" s="1767">
        <v>0</v>
      </c>
      <c r="AS56" s="1767">
        <v>0</v>
      </c>
      <c r="AT56" s="1767">
        <v>0</v>
      </c>
      <c r="AU56" s="1767">
        <v>0</v>
      </c>
      <c r="AV56" s="1767">
        <v>0</v>
      </c>
      <c r="AW56" s="1767">
        <v>0</v>
      </c>
      <c r="AX56" s="1767">
        <v>0</v>
      </c>
      <c r="AY56" s="1767">
        <v>0</v>
      </c>
      <c r="AZ56" s="1767">
        <v>0</v>
      </c>
      <c r="BA56" s="1767">
        <v>0</v>
      </c>
      <c r="BB56" s="1767">
        <v>0</v>
      </c>
      <c r="BC56" s="1767">
        <v>0</v>
      </c>
      <c r="BD56" s="1767">
        <v>0</v>
      </c>
      <c r="BE56" s="1767">
        <v>0</v>
      </c>
      <c r="BF56" s="1767">
        <v>0</v>
      </c>
      <c r="BG56" s="1767">
        <v>0</v>
      </c>
      <c r="BH56" s="1767">
        <v>0</v>
      </c>
      <c r="BI56" s="1767">
        <v>0</v>
      </c>
      <c r="BJ56" s="1767">
        <v>0</v>
      </c>
      <c r="BK56" s="1767">
        <v>0</v>
      </c>
      <c r="BL56" s="1767">
        <v>0</v>
      </c>
      <c r="BM56" s="1767">
        <v>0</v>
      </c>
      <c r="BN56" s="1767">
        <v>0</v>
      </c>
      <c r="BO56" s="1767">
        <v>0</v>
      </c>
      <c r="BP56" s="1767">
        <v>0</v>
      </c>
      <c r="BQ56" s="1767">
        <v>0</v>
      </c>
      <c r="BR56" s="1767">
        <v>0</v>
      </c>
      <c r="BS56" s="1767">
        <v>0</v>
      </c>
      <c r="BT56" s="1767">
        <v>0</v>
      </c>
      <c r="BU56" s="1767">
        <v>0</v>
      </c>
      <c r="BV56" s="1767">
        <v>0</v>
      </c>
      <c r="BW56" s="1767">
        <v>0</v>
      </c>
      <c r="BX56" s="1767">
        <v>0</v>
      </c>
      <c r="BY56" s="1767">
        <v>0</v>
      </c>
      <c r="BZ56" s="1767">
        <v>0</v>
      </c>
      <c r="CA56" s="1767">
        <v>0</v>
      </c>
      <c r="CB56" s="1767">
        <v>0</v>
      </c>
      <c r="CC56" s="1767">
        <v>0</v>
      </c>
      <c r="CD56" s="1767">
        <v>0</v>
      </c>
      <c r="CE56" s="1767">
        <v>0</v>
      </c>
      <c r="CF56" s="1767">
        <v>0</v>
      </c>
      <c r="CG56" s="1767">
        <v>0</v>
      </c>
      <c r="CH56" s="1767">
        <v>0</v>
      </c>
      <c r="CI56" s="1767">
        <v>0</v>
      </c>
      <c r="CJ56" s="1767">
        <v>0</v>
      </c>
      <c r="CK56" s="1767">
        <v>0</v>
      </c>
      <c r="CL56" s="1767">
        <v>0</v>
      </c>
      <c r="CM56" s="1767">
        <v>0</v>
      </c>
      <c r="CN56" s="1767">
        <v>0</v>
      </c>
      <c r="CO56" s="1767">
        <v>0</v>
      </c>
      <c r="CP56" s="1767">
        <v>0</v>
      </c>
    </row>
    <row r="57" spans="1:94" ht="30" customHeight="1" thickBot="1" x14ac:dyDescent="0.25">
      <c r="A57" s="1846" t="s">
        <v>1285</v>
      </c>
      <c r="B57" s="1846" t="s">
        <v>2449</v>
      </c>
      <c r="C57" s="1777" t="s">
        <v>2510</v>
      </c>
      <c r="D57" s="947"/>
      <c r="E57" s="1843" t="s">
        <v>1949</v>
      </c>
      <c r="F57" s="1225"/>
      <c r="G57" s="1742"/>
      <c r="H57" s="1742"/>
      <c r="I57" s="1742"/>
      <c r="J57" s="1742"/>
      <c r="K57" s="1742"/>
      <c r="L57" s="1742"/>
      <c r="M57" s="1742"/>
      <c r="N57" s="1742"/>
      <c r="O57" s="1742"/>
      <c r="P57" s="1742"/>
      <c r="Q57" s="1742"/>
      <c r="R57" s="1742"/>
      <c r="S57" s="1742"/>
      <c r="T57" s="1742"/>
      <c r="U57" s="1742"/>
      <c r="V57" s="1742"/>
      <c r="W57" s="1742"/>
      <c r="X57" s="1742"/>
      <c r="Y57" s="1742"/>
      <c r="Z57" s="1742"/>
      <c r="AA57" s="1742"/>
      <c r="AB57" s="1742"/>
      <c r="AC57" s="1742"/>
      <c r="AD57" s="1742"/>
      <c r="AE57" s="1742"/>
      <c r="AF57" s="1742"/>
      <c r="AG57" s="1742"/>
      <c r="AH57" s="1742"/>
      <c r="AI57" s="1742"/>
      <c r="AJ57" s="1742"/>
      <c r="AK57" s="1742"/>
      <c r="AL57" s="1742"/>
      <c r="AM57" s="1742"/>
      <c r="AN57" s="1742"/>
      <c r="AO57" s="1742"/>
      <c r="AP57" s="1742"/>
      <c r="AQ57" s="1742"/>
      <c r="AR57" s="1742"/>
      <c r="AS57" s="1742"/>
      <c r="AT57" s="1742"/>
      <c r="AU57" s="1742"/>
      <c r="AV57" s="1742"/>
      <c r="AW57" s="1742"/>
      <c r="AX57" s="1742"/>
      <c r="AY57" s="1742"/>
      <c r="AZ57" s="1742"/>
      <c r="BA57" s="1742"/>
      <c r="BB57" s="1742"/>
      <c r="BC57" s="1742"/>
      <c r="BD57" s="1742"/>
      <c r="BE57" s="1742"/>
      <c r="BF57" s="1742"/>
      <c r="BG57" s="1742"/>
      <c r="BH57" s="1742"/>
      <c r="BI57" s="1742"/>
      <c r="BJ57" s="1742"/>
      <c r="BK57" s="1742"/>
      <c r="BL57" s="1742"/>
      <c r="BM57" s="1742"/>
      <c r="BN57" s="1742"/>
      <c r="BO57" s="1742"/>
      <c r="BP57" s="1742"/>
      <c r="BQ57" s="1742"/>
      <c r="BR57" s="1742"/>
      <c r="BS57" s="1742"/>
      <c r="BT57" s="1742"/>
      <c r="BU57" s="1742"/>
      <c r="BV57" s="1742"/>
      <c r="BW57" s="1742"/>
      <c r="BX57" s="1742"/>
      <c r="BY57" s="1742"/>
      <c r="BZ57" s="1742"/>
      <c r="CA57" s="1742"/>
      <c r="CB57" s="1742"/>
      <c r="CC57" s="1742"/>
      <c r="CD57" s="1742"/>
      <c r="CE57" s="1742"/>
      <c r="CF57" s="1742"/>
      <c r="CG57" s="1742"/>
      <c r="CH57" s="1742"/>
      <c r="CI57" s="1742"/>
      <c r="CJ57" s="1742"/>
      <c r="CK57" s="1742"/>
      <c r="CL57" s="1742"/>
      <c r="CM57" s="1742"/>
      <c r="CN57" s="1742"/>
      <c r="CO57" s="1742"/>
      <c r="CP57" s="1742"/>
    </row>
    <row r="58" spans="1:94" ht="15" customHeight="1" x14ac:dyDescent="0.2">
      <c r="A58" s="1847"/>
      <c r="B58" s="1856"/>
      <c r="C58" s="662" t="s">
        <v>2088</v>
      </c>
      <c r="D58" s="936"/>
      <c r="E58" s="1844"/>
      <c r="F58" s="1225"/>
      <c r="G58" s="1767">
        <v>0</v>
      </c>
      <c r="H58" s="1767">
        <v>0</v>
      </c>
      <c r="I58" s="1767">
        <v>0</v>
      </c>
      <c r="J58" s="1767">
        <v>0</v>
      </c>
      <c r="K58" s="1767">
        <v>0</v>
      </c>
      <c r="L58" s="1767">
        <v>0</v>
      </c>
      <c r="M58" s="1767">
        <v>0</v>
      </c>
      <c r="N58" s="1767">
        <v>0</v>
      </c>
      <c r="O58" s="1767">
        <v>0</v>
      </c>
      <c r="P58" s="1767">
        <v>0</v>
      </c>
      <c r="Q58" s="1767">
        <v>0</v>
      </c>
      <c r="R58" s="1767">
        <v>0</v>
      </c>
      <c r="S58" s="1767">
        <v>0</v>
      </c>
      <c r="T58" s="1767">
        <v>0</v>
      </c>
      <c r="U58" s="1767">
        <v>0</v>
      </c>
      <c r="V58" s="1767">
        <v>0</v>
      </c>
      <c r="W58" s="1767">
        <v>0</v>
      </c>
      <c r="X58" s="1767">
        <v>0</v>
      </c>
      <c r="Y58" s="1767">
        <v>0</v>
      </c>
      <c r="Z58" s="1767">
        <v>0</v>
      </c>
      <c r="AA58" s="1767">
        <v>0</v>
      </c>
      <c r="AB58" s="1767">
        <v>0</v>
      </c>
      <c r="AC58" s="1767">
        <v>0</v>
      </c>
      <c r="AD58" s="1767">
        <v>0</v>
      </c>
      <c r="AE58" s="1767">
        <v>0</v>
      </c>
      <c r="AF58" s="1767">
        <v>0</v>
      </c>
      <c r="AG58" s="1767">
        <v>0</v>
      </c>
      <c r="AH58" s="1767">
        <v>0</v>
      </c>
      <c r="AI58" s="1767">
        <v>0</v>
      </c>
      <c r="AJ58" s="1767">
        <v>0</v>
      </c>
      <c r="AK58" s="1767">
        <v>0</v>
      </c>
      <c r="AL58" s="1767">
        <v>0</v>
      </c>
      <c r="AM58" s="1767">
        <v>0</v>
      </c>
      <c r="AN58" s="1767">
        <v>0</v>
      </c>
      <c r="AO58" s="1767">
        <v>0</v>
      </c>
      <c r="AP58" s="1767">
        <v>0</v>
      </c>
      <c r="AQ58" s="1767">
        <v>0</v>
      </c>
      <c r="AR58" s="1767">
        <v>0</v>
      </c>
      <c r="AS58" s="1767">
        <v>0</v>
      </c>
      <c r="AT58" s="1767">
        <v>0</v>
      </c>
      <c r="AU58" s="1767">
        <v>0</v>
      </c>
      <c r="AV58" s="1767">
        <v>0</v>
      </c>
      <c r="AW58" s="1767">
        <v>0</v>
      </c>
      <c r="AX58" s="1767">
        <v>0</v>
      </c>
      <c r="AY58" s="1767">
        <v>0</v>
      </c>
      <c r="AZ58" s="1767">
        <v>0</v>
      </c>
      <c r="BA58" s="1767">
        <v>0</v>
      </c>
      <c r="BB58" s="1767">
        <v>0</v>
      </c>
      <c r="BC58" s="1767">
        <v>0</v>
      </c>
      <c r="BD58" s="1767">
        <v>0</v>
      </c>
      <c r="BE58" s="1767">
        <v>0</v>
      </c>
      <c r="BF58" s="1767">
        <v>0</v>
      </c>
      <c r="BG58" s="1767">
        <v>0</v>
      </c>
      <c r="BH58" s="1767">
        <v>0</v>
      </c>
      <c r="BI58" s="1767">
        <v>0</v>
      </c>
      <c r="BJ58" s="1767">
        <v>0</v>
      </c>
      <c r="BK58" s="1767">
        <v>0</v>
      </c>
      <c r="BL58" s="1767">
        <v>0</v>
      </c>
      <c r="BM58" s="1767">
        <v>0</v>
      </c>
      <c r="BN58" s="1767">
        <v>0</v>
      </c>
      <c r="BO58" s="1767">
        <v>0</v>
      </c>
      <c r="BP58" s="1767">
        <v>0</v>
      </c>
      <c r="BQ58" s="1767">
        <v>0</v>
      </c>
      <c r="BR58" s="1767">
        <v>0</v>
      </c>
      <c r="BS58" s="1767">
        <v>0</v>
      </c>
      <c r="BT58" s="1767">
        <v>0</v>
      </c>
      <c r="BU58" s="1767">
        <v>0</v>
      </c>
      <c r="BV58" s="1767">
        <v>0</v>
      </c>
      <c r="BW58" s="1767">
        <v>0</v>
      </c>
      <c r="BX58" s="1767">
        <v>0</v>
      </c>
      <c r="BY58" s="1767">
        <v>0</v>
      </c>
      <c r="BZ58" s="1767">
        <v>0</v>
      </c>
      <c r="CA58" s="1767">
        <v>0</v>
      </c>
      <c r="CB58" s="1767">
        <v>0</v>
      </c>
      <c r="CC58" s="1767">
        <v>0</v>
      </c>
      <c r="CD58" s="1767">
        <v>0</v>
      </c>
      <c r="CE58" s="1767">
        <v>0</v>
      </c>
      <c r="CF58" s="1767">
        <v>0</v>
      </c>
      <c r="CG58" s="1767">
        <v>0</v>
      </c>
      <c r="CH58" s="1767">
        <v>0</v>
      </c>
      <c r="CI58" s="1767">
        <v>0</v>
      </c>
      <c r="CJ58" s="1767">
        <v>0</v>
      </c>
      <c r="CK58" s="1767">
        <v>0</v>
      </c>
      <c r="CL58" s="1767">
        <v>0</v>
      </c>
      <c r="CM58" s="1767">
        <v>0</v>
      </c>
      <c r="CN58" s="1767">
        <v>0</v>
      </c>
      <c r="CO58" s="1767">
        <v>0</v>
      </c>
      <c r="CP58" s="1767">
        <v>0</v>
      </c>
    </row>
    <row r="59" spans="1:94" ht="15" customHeight="1" x14ac:dyDescent="0.2">
      <c r="A59" s="1847"/>
      <c r="B59" s="1856"/>
      <c r="C59" s="663" t="s">
        <v>2089</v>
      </c>
      <c r="D59" s="936"/>
      <c r="E59" s="1844"/>
      <c r="F59" s="1225"/>
      <c r="G59" s="1767">
        <v>0</v>
      </c>
      <c r="H59" s="1767">
        <v>0</v>
      </c>
      <c r="I59" s="1767">
        <v>0</v>
      </c>
      <c r="J59" s="1767">
        <v>0</v>
      </c>
      <c r="K59" s="1767">
        <v>0</v>
      </c>
      <c r="L59" s="1767">
        <v>0</v>
      </c>
      <c r="M59" s="1767">
        <v>0</v>
      </c>
      <c r="N59" s="1767">
        <v>0</v>
      </c>
      <c r="O59" s="1767">
        <v>0</v>
      </c>
      <c r="P59" s="1767">
        <v>0</v>
      </c>
      <c r="Q59" s="1767">
        <v>0</v>
      </c>
      <c r="R59" s="1767">
        <v>0</v>
      </c>
      <c r="S59" s="1767">
        <v>0</v>
      </c>
      <c r="T59" s="1767">
        <v>0</v>
      </c>
      <c r="U59" s="1767">
        <v>0</v>
      </c>
      <c r="V59" s="1767">
        <v>0</v>
      </c>
      <c r="W59" s="1767">
        <v>0</v>
      </c>
      <c r="X59" s="1767">
        <v>0</v>
      </c>
      <c r="Y59" s="1767">
        <v>0</v>
      </c>
      <c r="Z59" s="1767">
        <v>0</v>
      </c>
      <c r="AA59" s="1767">
        <v>0</v>
      </c>
      <c r="AB59" s="1767">
        <v>0</v>
      </c>
      <c r="AC59" s="1767">
        <v>0</v>
      </c>
      <c r="AD59" s="1767">
        <v>0</v>
      </c>
      <c r="AE59" s="1767">
        <v>0</v>
      </c>
      <c r="AF59" s="1767">
        <v>0</v>
      </c>
      <c r="AG59" s="1767">
        <v>0</v>
      </c>
      <c r="AH59" s="1767">
        <v>0</v>
      </c>
      <c r="AI59" s="1767">
        <v>0</v>
      </c>
      <c r="AJ59" s="1767">
        <v>0</v>
      </c>
      <c r="AK59" s="1767">
        <v>0</v>
      </c>
      <c r="AL59" s="1767">
        <v>0</v>
      </c>
      <c r="AM59" s="1767">
        <v>0</v>
      </c>
      <c r="AN59" s="1767">
        <v>0</v>
      </c>
      <c r="AO59" s="1767">
        <v>0</v>
      </c>
      <c r="AP59" s="1767">
        <v>0</v>
      </c>
      <c r="AQ59" s="1767">
        <v>0</v>
      </c>
      <c r="AR59" s="1767">
        <v>0</v>
      </c>
      <c r="AS59" s="1767">
        <v>0</v>
      </c>
      <c r="AT59" s="1767">
        <v>0</v>
      </c>
      <c r="AU59" s="1767">
        <v>0</v>
      </c>
      <c r="AV59" s="1767">
        <v>0</v>
      </c>
      <c r="AW59" s="1767">
        <v>0</v>
      </c>
      <c r="AX59" s="1767">
        <v>0</v>
      </c>
      <c r="AY59" s="1767">
        <v>0</v>
      </c>
      <c r="AZ59" s="1767">
        <v>0</v>
      </c>
      <c r="BA59" s="1767">
        <v>0</v>
      </c>
      <c r="BB59" s="1767">
        <v>0</v>
      </c>
      <c r="BC59" s="1767">
        <v>0</v>
      </c>
      <c r="BD59" s="1767">
        <v>0</v>
      </c>
      <c r="BE59" s="1767">
        <v>0</v>
      </c>
      <c r="BF59" s="1767">
        <v>0</v>
      </c>
      <c r="BG59" s="1767">
        <v>0</v>
      </c>
      <c r="BH59" s="1767">
        <v>0</v>
      </c>
      <c r="BI59" s="1767">
        <v>0</v>
      </c>
      <c r="BJ59" s="1767">
        <v>0</v>
      </c>
      <c r="BK59" s="1767">
        <v>0</v>
      </c>
      <c r="BL59" s="1767">
        <v>0</v>
      </c>
      <c r="BM59" s="1767">
        <v>0</v>
      </c>
      <c r="BN59" s="1767">
        <v>0</v>
      </c>
      <c r="BO59" s="1767">
        <v>0</v>
      </c>
      <c r="BP59" s="1767">
        <v>0</v>
      </c>
      <c r="BQ59" s="1767">
        <v>0</v>
      </c>
      <c r="BR59" s="1767">
        <v>0</v>
      </c>
      <c r="BS59" s="1767">
        <v>0</v>
      </c>
      <c r="BT59" s="1767">
        <v>0</v>
      </c>
      <c r="BU59" s="1767">
        <v>0</v>
      </c>
      <c r="BV59" s="1767">
        <v>0</v>
      </c>
      <c r="BW59" s="1767">
        <v>0</v>
      </c>
      <c r="BX59" s="1767">
        <v>0</v>
      </c>
      <c r="BY59" s="1767">
        <v>0</v>
      </c>
      <c r="BZ59" s="1767">
        <v>0</v>
      </c>
      <c r="CA59" s="1767">
        <v>0</v>
      </c>
      <c r="CB59" s="1767">
        <v>0</v>
      </c>
      <c r="CC59" s="1767">
        <v>0</v>
      </c>
      <c r="CD59" s="1767">
        <v>0</v>
      </c>
      <c r="CE59" s="1767">
        <v>0</v>
      </c>
      <c r="CF59" s="1767">
        <v>0</v>
      </c>
      <c r="CG59" s="1767">
        <v>0</v>
      </c>
      <c r="CH59" s="1767">
        <v>0</v>
      </c>
      <c r="CI59" s="1767">
        <v>0</v>
      </c>
      <c r="CJ59" s="1767">
        <v>0</v>
      </c>
      <c r="CK59" s="1767">
        <v>0</v>
      </c>
      <c r="CL59" s="1767">
        <v>0</v>
      </c>
      <c r="CM59" s="1767">
        <v>0</v>
      </c>
      <c r="CN59" s="1767">
        <v>0</v>
      </c>
      <c r="CO59" s="1767">
        <v>0</v>
      </c>
      <c r="CP59" s="1767">
        <v>0</v>
      </c>
    </row>
    <row r="60" spans="1:94" ht="15" customHeight="1" x14ac:dyDescent="0.2">
      <c r="A60" s="1847"/>
      <c r="B60" s="1856"/>
      <c r="C60" s="663" t="s">
        <v>2090</v>
      </c>
      <c r="D60" s="936"/>
      <c r="E60" s="1844"/>
      <c r="F60" s="1225"/>
      <c r="G60" s="1767">
        <v>0</v>
      </c>
      <c r="H60" s="1767">
        <v>0</v>
      </c>
      <c r="I60" s="1767">
        <v>0</v>
      </c>
      <c r="J60" s="1767">
        <v>0</v>
      </c>
      <c r="K60" s="1767">
        <v>0</v>
      </c>
      <c r="L60" s="1767">
        <v>0</v>
      </c>
      <c r="M60" s="1767">
        <v>0</v>
      </c>
      <c r="N60" s="1767">
        <v>0</v>
      </c>
      <c r="O60" s="1767">
        <v>0</v>
      </c>
      <c r="P60" s="1767">
        <v>0</v>
      </c>
      <c r="Q60" s="1767">
        <v>0</v>
      </c>
      <c r="R60" s="1767">
        <v>0</v>
      </c>
      <c r="S60" s="1767">
        <v>0</v>
      </c>
      <c r="T60" s="1767">
        <v>0</v>
      </c>
      <c r="U60" s="1767">
        <v>0</v>
      </c>
      <c r="V60" s="1767">
        <v>0</v>
      </c>
      <c r="W60" s="1767">
        <v>0</v>
      </c>
      <c r="X60" s="1767">
        <v>0</v>
      </c>
      <c r="Y60" s="1767">
        <v>0</v>
      </c>
      <c r="Z60" s="1767">
        <v>0</v>
      </c>
      <c r="AA60" s="1767">
        <v>0</v>
      </c>
      <c r="AB60" s="1767">
        <v>0</v>
      </c>
      <c r="AC60" s="1767">
        <v>0</v>
      </c>
      <c r="AD60" s="1767">
        <v>0</v>
      </c>
      <c r="AE60" s="1767">
        <v>0</v>
      </c>
      <c r="AF60" s="1767">
        <v>0</v>
      </c>
      <c r="AG60" s="1767">
        <v>0</v>
      </c>
      <c r="AH60" s="1767">
        <v>0</v>
      </c>
      <c r="AI60" s="1767">
        <v>0</v>
      </c>
      <c r="AJ60" s="1767">
        <v>0</v>
      </c>
      <c r="AK60" s="1767">
        <v>0</v>
      </c>
      <c r="AL60" s="1767">
        <v>0</v>
      </c>
      <c r="AM60" s="1767">
        <v>0</v>
      </c>
      <c r="AN60" s="1767">
        <v>0</v>
      </c>
      <c r="AO60" s="1767">
        <v>0</v>
      </c>
      <c r="AP60" s="1767">
        <v>0</v>
      </c>
      <c r="AQ60" s="1767">
        <v>0</v>
      </c>
      <c r="AR60" s="1767">
        <v>0</v>
      </c>
      <c r="AS60" s="1767">
        <v>0</v>
      </c>
      <c r="AT60" s="1767">
        <v>0</v>
      </c>
      <c r="AU60" s="1767">
        <v>0</v>
      </c>
      <c r="AV60" s="1767">
        <v>0</v>
      </c>
      <c r="AW60" s="1767">
        <v>0</v>
      </c>
      <c r="AX60" s="1767">
        <v>0</v>
      </c>
      <c r="AY60" s="1767">
        <v>0</v>
      </c>
      <c r="AZ60" s="1767">
        <v>0</v>
      </c>
      <c r="BA60" s="1767">
        <v>0</v>
      </c>
      <c r="BB60" s="1767">
        <v>0</v>
      </c>
      <c r="BC60" s="1767">
        <v>0</v>
      </c>
      <c r="BD60" s="1767">
        <v>0</v>
      </c>
      <c r="BE60" s="1767">
        <v>0</v>
      </c>
      <c r="BF60" s="1767">
        <v>0</v>
      </c>
      <c r="BG60" s="1767">
        <v>0</v>
      </c>
      <c r="BH60" s="1767">
        <v>0</v>
      </c>
      <c r="BI60" s="1767">
        <v>0</v>
      </c>
      <c r="BJ60" s="1767">
        <v>0</v>
      </c>
      <c r="BK60" s="1767">
        <v>0</v>
      </c>
      <c r="BL60" s="1767">
        <v>0</v>
      </c>
      <c r="BM60" s="1767">
        <v>0</v>
      </c>
      <c r="BN60" s="1767">
        <v>0</v>
      </c>
      <c r="BO60" s="1767">
        <v>0</v>
      </c>
      <c r="BP60" s="1767">
        <v>0</v>
      </c>
      <c r="BQ60" s="1767">
        <v>0</v>
      </c>
      <c r="BR60" s="1767">
        <v>0</v>
      </c>
      <c r="BS60" s="1767">
        <v>0</v>
      </c>
      <c r="BT60" s="1767">
        <v>0</v>
      </c>
      <c r="BU60" s="1767">
        <v>0</v>
      </c>
      <c r="BV60" s="1767">
        <v>0</v>
      </c>
      <c r="BW60" s="1767">
        <v>0</v>
      </c>
      <c r="BX60" s="1767">
        <v>0</v>
      </c>
      <c r="BY60" s="1767">
        <v>0</v>
      </c>
      <c r="BZ60" s="1767">
        <v>0</v>
      </c>
      <c r="CA60" s="1767">
        <v>0</v>
      </c>
      <c r="CB60" s="1767">
        <v>0</v>
      </c>
      <c r="CC60" s="1767">
        <v>0</v>
      </c>
      <c r="CD60" s="1767">
        <v>0</v>
      </c>
      <c r="CE60" s="1767">
        <v>0</v>
      </c>
      <c r="CF60" s="1767">
        <v>0</v>
      </c>
      <c r="CG60" s="1767">
        <v>0</v>
      </c>
      <c r="CH60" s="1767">
        <v>0</v>
      </c>
      <c r="CI60" s="1767">
        <v>0</v>
      </c>
      <c r="CJ60" s="1767">
        <v>0</v>
      </c>
      <c r="CK60" s="1767">
        <v>0</v>
      </c>
      <c r="CL60" s="1767">
        <v>0</v>
      </c>
      <c r="CM60" s="1767">
        <v>0</v>
      </c>
      <c r="CN60" s="1767">
        <v>0</v>
      </c>
      <c r="CO60" s="1767">
        <v>0</v>
      </c>
      <c r="CP60" s="1767">
        <v>0</v>
      </c>
    </row>
    <row r="61" spans="1:94" ht="15" customHeight="1" x14ac:dyDescent="0.2">
      <c r="A61" s="1847"/>
      <c r="B61" s="1856"/>
      <c r="C61" s="663" t="s">
        <v>2091</v>
      </c>
      <c r="D61" s="936"/>
      <c r="E61" s="1844"/>
      <c r="F61" s="1225"/>
      <c r="G61" s="1767">
        <v>0</v>
      </c>
      <c r="H61" s="1767">
        <v>0</v>
      </c>
      <c r="I61" s="1767">
        <v>0</v>
      </c>
      <c r="J61" s="1767">
        <v>0</v>
      </c>
      <c r="K61" s="1767">
        <v>0</v>
      </c>
      <c r="L61" s="1767">
        <v>0</v>
      </c>
      <c r="M61" s="1767">
        <v>0</v>
      </c>
      <c r="N61" s="1767">
        <v>0</v>
      </c>
      <c r="O61" s="1767">
        <v>0</v>
      </c>
      <c r="P61" s="1767">
        <v>0</v>
      </c>
      <c r="Q61" s="1767">
        <v>0</v>
      </c>
      <c r="R61" s="1767">
        <v>0</v>
      </c>
      <c r="S61" s="1767">
        <v>0</v>
      </c>
      <c r="T61" s="1767">
        <v>0</v>
      </c>
      <c r="U61" s="1767">
        <v>0</v>
      </c>
      <c r="V61" s="1767">
        <v>0</v>
      </c>
      <c r="W61" s="1767">
        <v>0</v>
      </c>
      <c r="X61" s="1767">
        <v>0</v>
      </c>
      <c r="Y61" s="1767">
        <v>0</v>
      </c>
      <c r="Z61" s="1767">
        <v>0</v>
      </c>
      <c r="AA61" s="1767">
        <v>0</v>
      </c>
      <c r="AB61" s="1767">
        <v>0</v>
      </c>
      <c r="AC61" s="1767">
        <v>0</v>
      </c>
      <c r="AD61" s="1767">
        <v>0</v>
      </c>
      <c r="AE61" s="1767">
        <v>0</v>
      </c>
      <c r="AF61" s="1767">
        <v>0</v>
      </c>
      <c r="AG61" s="1767">
        <v>0</v>
      </c>
      <c r="AH61" s="1767">
        <v>0</v>
      </c>
      <c r="AI61" s="1767">
        <v>0</v>
      </c>
      <c r="AJ61" s="1767">
        <v>0</v>
      </c>
      <c r="AK61" s="1767">
        <v>0</v>
      </c>
      <c r="AL61" s="1767">
        <v>0</v>
      </c>
      <c r="AM61" s="1767">
        <v>0</v>
      </c>
      <c r="AN61" s="1767">
        <v>0</v>
      </c>
      <c r="AO61" s="1767">
        <v>0</v>
      </c>
      <c r="AP61" s="1767">
        <v>0</v>
      </c>
      <c r="AQ61" s="1767">
        <v>0</v>
      </c>
      <c r="AR61" s="1767">
        <v>0</v>
      </c>
      <c r="AS61" s="1767">
        <v>0</v>
      </c>
      <c r="AT61" s="1767">
        <v>0</v>
      </c>
      <c r="AU61" s="1767">
        <v>0</v>
      </c>
      <c r="AV61" s="1767">
        <v>0</v>
      </c>
      <c r="AW61" s="1767">
        <v>0</v>
      </c>
      <c r="AX61" s="1767">
        <v>0</v>
      </c>
      <c r="AY61" s="1767">
        <v>0</v>
      </c>
      <c r="AZ61" s="1767">
        <v>0</v>
      </c>
      <c r="BA61" s="1767">
        <v>0</v>
      </c>
      <c r="BB61" s="1767">
        <v>0</v>
      </c>
      <c r="BC61" s="1767">
        <v>0</v>
      </c>
      <c r="BD61" s="1767">
        <v>0</v>
      </c>
      <c r="BE61" s="1767">
        <v>0</v>
      </c>
      <c r="BF61" s="1767">
        <v>0</v>
      </c>
      <c r="BG61" s="1767">
        <v>0</v>
      </c>
      <c r="BH61" s="1767">
        <v>0</v>
      </c>
      <c r="BI61" s="1767">
        <v>0</v>
      </c>
      <c r="BJ61" s="1767">
        <v>0</v>
      </c>
      <c r="BK61" s="1767">
        <v>0</v>
      </c>
      <c r="BL61" s="1767">
        <v>0</v>
      </c>
      <c r="BM61" s="1767">
        <v>0</v>
      </c>
      <c r="BN61" s="1767">
        <v>0</v>
      </c>
      <c r="BO61" s="1767">
        <v>0</v>
      </c>
      <c r="BP61" s="1767">
        <v>0</v>
      </c>
      <c r="BQ61" s="1767">
        <v>0</v>
      </c>
      <c r="BR61" s="1767">
        <v>0</v>
      </c>
      <c r="BS61" s="1767">
        <v>0</v>
      </c>
      <c r="BT61" s="1767">
        <v>0</v>
      </c>
      <c r="BU61" s="1767">
        <v>0</v>
      </c>
      <c r="BV61" s="1767">
        <v>0</v>
      </c>
      <c r="BW61" s="1767">
        <v>0</v>
      </c>
      <c r="BX61" s="1767">
        <v>0</v>
      </c>
      <c r="BY61" s="1767">
        <v>0</v>
      </c>
      <c r="BZ61" s="1767">
        <v>0</v>
      </c>
      <c r="CA61" s="1767">
        <v>0</v>
      </c>
      <c r="CB61" s="1767">
        <v>0</v>
      </c>
      <c r="CC61" s="1767">
        <v>0</v>
      </c>
      <c r="CD61" s="1767">
        <v>0</v>
      </c>
      <c r="CE61" s="1767">
        <v>0</v>
      </c>
      <c r="CF61" s="1767">
        <v>0</v>
      </c>
      <c r="CG61" s="1767">
        <v>0</v>
      </c>
      <c r="CH61" s="1767">
        <v>0</v>
      </c>
      <c r="CI61" s="1767">
        <v>0</v>
      </c>
      <c r="CJ61" s="1767">
        <v>0</v>
      </c>
      <c r="CK61" s="1767">
        <v>0</v>
      </c>
      <c r="CL61" s="1767">
        <v>0</v>
      </c>
      <c r="CM61" s="1767">
        <v>0</v>
      </c>
      <c r="CN61" s="1767">
        <v>0</v>
      </c>
      <c r="CO61" s="1767">
        <v>0</v>
      </c>
      <c r="CP61" s="1767">
        <v>0</v>
      </c>
    </row>
    <row r="62" spans="1:94" ht="15" customHeight="1" thickBot="1" x14ac:dyDescent="0.25">
      <c r="A62" s="1848"/>
      <c r="B62" s="1857"/>
      <c r="C62" s="650" t="s">
        <v>2092</v>
      </c>
      <c r="D62" s="950"/>
      <c r="E62" s="1845"/>
      <c r="F62" s="1225"/>
      <c r="G62" s="1767">
        <v>0</v>
      </c>
      <c r="H62" s="1767">
        <v>0</v>
      </c>
      <c r="I62" s="1767">
        <v>0</v>
      </c>
      <c r="J62" s="1767">
        <v>0</v>
      </c>
      <c r="K62" s="1767">
        <v>0</v>
      </c>
      <c r="L62" s="1767">
        <v>0</v>
      </c>
      <c r="M62" s="1767">
        <v>0</v>
      </c>
      <c r="N62" s="1767">
        <v>0</v>
      </c>
      <c r="O62" s="1767">
        <v>0</v>
      </c>
      <c r="P62" s="1767">
        <v>0</v>
      </c>
      <c r="Q62" s="1767">
        <v>0</v>
      </c>
      <c r="R62" s="1767">
        <v>0</v>
      </c>
      <c r="S62" s="1767">
        <v>0</v>
      </c>
      <c r="T62" s="1767">
        <v>0</v>
      </c>
      <c r="U62" s="1767">
        <v>0</v>
      </c>
      <c r="V62" s="1767">
        <v>0</v>
      </c>
      <c r="W62" s="1767">
        <v>0</v>
      </c>
      <c r="X62" s="1767">
        <v>0</v>
      </c>
      <c r="Y62" s="1767">
        <v>0</v>
      </c>
      <c r="Z62" s="1767">
        <v>0</v>
      </c>
      <c r="AA62" s="1767">
        <v>0</v>
      </c>
      <c r="AB62" s="1767">
        <v>0</v>
      </c>
      <c r="AC62" s="1767">
        <v>0</v>
      </c>
      <c r="AD62" s="1767">
        <v>0</v>
      </c>
      <c r="AE62" s="1767">
        <v>0</v>
      </c>
      <c r="AF62" s="1767">
        <v>0</v>
      </c>
      <c r="AG62" s="1767">
        <v>0</v>
      </c>
      <c r="AH62" s="1767">
        <v>0</v>
      </c>
      <c r="AI62" s="1767">
        <v>0</v>
      </c>
      <c r="AJ62" s="1767">
        <v>0</v>
      </c>
      <c r="AK62" s="1767">
        <v>0</v>
      </c>
      <c r="AL62" s="1767">
        <v>0</v>
      </c>
      <c r="AM62" s="1767">
        <v>0</v>
      </c>
      <c r="AN62" s="1767">
        <v>0</v>
      </c>
      <c r="AO62" s="1767">
        <v>0</v>
      </c>
      <c r="AP62" s="1767">
        <v>0</v>
      </c>
      <c r="AQ62" s="1767">
        <v>0</v>
      </c>
      <c r="AR62" s="1767">
        <v>0</v>
      </c>
      <c r="AS62" s="1767">
        <v>0</v>
      </c>
      <c r="AT62" s="1767">
        <v>0</v>
      </c>
      <c r="AU62" s="1767">
        <v>0</v>
      </c>
      <c r="AV62" s="1767">
        <v>0</v>
      </c>
      <c r="AW62" s="1767">
        <v>0</v>
      </c>
      <c r="AX62" s="1767">
        <v>0</v>
      </c>
      <c r="AY62" s="1767">
        <v>0</v>
      </c>
      <c r="AZ62" s="1767">
        <v>0</v>
      </c>
      <c r="BA62" s="1767">
        <v>0</v>
      </c>
      <c r="BB62" s="1767">
        <v>0</v>
      </c>
      <c r="BC62" s="1767">
        <v>0</v>
      </c>
      <c r="BD62" s="1767">
        <v>0</v>
      </c>
      <c r="BE62" s="1767">
        <v>0</v>
      </c>
      <c r="BF62" s="1767">
        <v>0</v>
      </c>
      <c r="BG62" s="1767">
        <v>0</v>
      </c>
      <c r="BH62" s="1767">
        <v>0</v>
      </c>
      <c r="BI62" s="1767">
        <v>0</v>
      </c>
      <c r="BJ62" s="1767">
        <v>0</v>
      </c>
      <c r="BK62" s="1767">
        <v>0</v>
      </c>
      <c r="BL62" s="1767">
        <v>0</v>
      </c>
      <c r="BM62" s="1767">
        <v>0</v>
      </c>
      <c r="BN62" s="1767">
        <v>0</v>
      </c>
      <c r="BO62" s="1767">
        <v>0</v>
      </c>
      <c r="BP62" s="1767">
        <v>0</v>
      </c>
      <c r="BQ62" s="1767">
        <v>0</v>
      </c>
      <c r="BR62" s="1767">
        <v>0</v>
      </c>
      <c r="BS62" s="1767">
        <v>0</v>
      </c>
      <c r="BT62" s="1767">
        <v>0</v>
      </c>
      <c r="BU62" s="1767">
        <v>0</v>
      </c>
      <c r="BV62" s="1767">
        <v>0</v>
      </c>
      <c r="BW62" s="1767">
        <v>0</v>
      </c>
      <c r="BX62" s="1767">
        <v>0</v>
      </c>
      <c r="BY62" s="1767">
        <v>0</v>
      </c>
      <c r="BZ62" s="1767">
        <v>0</v>
      </c>
      <c r="CA62" s="1767">
        <v>0</v>
      </c>
      <c r="CB62" s="1767">
        <v>0</v>
      </c>
      <c r="CC62" s="1767">
        <v>0</v>
      </c>
      <c r="CD62" s="1767">
        <v>0</v>
      </c>
      <c r="CE62" s="1767">
        <v>0</v>
      </c>
      <c r="CF62" s="1767">
        <v>0</v>
      </c>
      <c r="CG62" s="1767">
        <v>0</v>
      </c>
      <c r="CH62" s="1767">
        <v>0</v>
      </c>
      <c r="CI62" s="1767">
        <v>0</v>
      </c>
      <c r="CJ62" s="1767">
        <v>0</v>
      </c>
      <c r="CK62" s="1767">
        <v>0</v>
      </c>
      <c r="CL62" s="1767">
        <v>0</v>
      </c>
      <c r="CM62" s="1767">
        <v>0</v>
      </c>
      <c r="CN62" s="1767">
        <v>0</v>
      </c>
      <c r="CO62" s="1767">
        <v>0</v>
      </c>
      <c r="CP62" s="1767">
        <v>0</v>
      </c>
    </row>
    <row r="63" spans="1:94" ht="30" customHeight="1" thickBot="1" x14ac:dyDescent="0.25">
      <c r="A63" s="1849" t="s">
        <v>1286</v>
      </c>
      <c r="B63" s="1846" t="s">
        <v>858</v>
      </c>
      <c r="C63" s="1777" t="s">
        <v>2511</v>
      </c>
      <c r="D63" s="947"/>
      <c r="E63" s="1843" t="s">
        <v>2312</v>
      </c>
      <c r="F63" s="1225"/>
      <c r="G63" s="1742"/>
      <c r="H63" s="1742"/>
      <c r="I63" s="1742"/>
      <c r="J63" s="1742"/>
      <c r="K63" s="1742"/>
      <c r="L63" s="1742"/>
      <c r="M63" s="1742"/>
      <c r="N63" s="1742"/>
      <c r="O63" s="1742"/>
      <c r="P63" s="1742"/>
      <c r="Q63" s="1742"/>
      <c r="R63" s="1742"/>
      <c r="S63" s="1742"/>
      <c r="T63" s="1742"/>
      <c r="U63" s="1742"/>
      <c r="V63" s="1742"/>
      <c r="W63" s="1742"/>
      <c r="X63" s="1742"/>
      <c r="Y63" s="1742"/>
      <c r="Z63" s="1742"/>
      <c r="AA63" s="1742"/>
      <c r="AB63" s="1742"/>
      <c r="AC63" s="1742"/>
      <c r="AD63" s="1742"/>
      <c r="AE63" s="1742"/>
      <c r="AF63" s="1742"/>
      <c r="AG63" s="1742"/>
      <c r="AH63" s="1742"/>
      <c r="AI63" s="1742"/>
      <c r="AJ63" s="1742"/>
      <c r="AK63" s="1742"/>
      <c r="AL63" s="1742"/>
      <c r="AM63" s="1742"/>
      <c r="AN63" s="1742"/>
      <c r="AO63" s="1742"/>
      <c r="AP63" s="1742"/>
      <c r="AQ63" s="1742"/>
      <c r="AR63" s="1742"/>
      <c r="AS63" s="1742"/>
      <c r="AT63" s="1742"/>
      <c r="AU63" s="1742"/>
      <c r="AV63" s="1742"/>
      <c r="AW63" s="1742"/>
      <c r="AX63" s="1742"/>
      <c r="AY63" s="1742"/>
      <c r="AZ63" s="1742"/>
      <c r="BA63" s="1742"/>
      <c r="BB63" s="1742"/>
      <c r="BC63" s="1742"/>
      <c r="BD63" s="1742"/>
      <c r="BE63" s="1742"/>
      <c r="BF63" s="1742"/>
      <c r="BG63" s="1742"/>
      <c r="BH63" s="1742"/>
      <c r="BI63" s="1742"/>
      <c r="BJ63" s="1742"/>
      <c r="BK63" s="1742"/>
      <c r="BL63" s="1742"/>
      <c r="BM63" s="1742"/>
      <c r="BN63" s="1742"/>
      <c r="BO63" s="1742"/>
      <c r="BP63" s="1742"/>
      <c r="BQ63" s="1742"/>
      <c r="BR63" s="1742"/>
      <c r="BS63" s="1742"/>
      <c r="BT63" s="1742"/>
      <c r="BU63" s="1742"/>
      <c r="BV63" s="1742"/>
      <c r="BW63" s="1742"/>
      <c r="BX63" s="1742"/>
      <c r="BY63" s="1742"/>
      <c r="BZ63" s="1742"/>
      <c r="CA63" s="1742"/>
      <c r="CB63" s="1742"/>
      <c r="CC63" s="1742"/>
      <c r="CD63" s="1742"/>
      <c r="CE63" s="1742"/>
      <c r="CF63" s="1742"/>
      <c r="CG63" s="1742"/>
      <c r="CH63" s="1742"/>
      <c r="CI63" s="1742"/>
      <c r="CJ63" s="1742"/>
      <c r="CK63" s="1742"/>
      <c r="CL63" s="1742"/>
      <c r="CM63" s="1742"/>
      <c r="CN63" s="1742"/>
      <c r="CO63" s="1742"/>
      <c r="CP63" s="1742"/>
    </row>
    <row r="64" spans="1:94" ht="40.5" customHeight="1" x14ac:dyDescent="0.2">
      <c r="A64" s="1847"/>
      <c r="B64" s="1856"/>
      <c r="C64" s="662" t="s">
        <v>2436</v>
      </c>
      <c r="D64" s="936"/>
      <c r="E64" s="1844"/>
      <c r="F64" s="1225"/>
      <c r="G64" s="1767">
        <v>0</v>
      </c>
      <c r="H64" s="1767">
        <v>0</v>
      </c>
      <c r="I64" s="1767">
        <v>0</v>
      </c>
      <c r="J64" s="1767">
        <v>0</v>
      </c>
      <c r="K64" s="1767">
        <v>0</v>
      </c>
      <c r="L64" s="1767">
        <v>0</v>
      </c>
      <c r="M64" s="1767">
        <v>0</v>
      </c>
      <c r="N64" s="1767">
        <v>0</v>
      </c>
      <c r="O64" s="1767">
        <v>0</v>
      </c>
      <c r="P64" s="1767">
        <v>0</v>
      </c>
      <c r="Q64" s="1767">
        <v>0</v>
      </c>
      <c r="R64" s="1767">
        <v>0</v>
      </c>
      <c r="S64" s="1767">
        <v>0</v>
      </c>
      <c r="T64" s="1767">
        <v>0</v>
      </c>
      <c r="U64" s="1767">
        <v>0</v>
      </c>
      <c r="V64" s="1767">
        <v>0</v>
      </c>
      <c r="W64" s="1767">
        <v>0</v>
      </c>
      <c r="X64" s="1767">
        <v>0</v>
      </c>
      <c r="Y64" s="1767">
        <v>0</v>
      </c>
      <c r="Z64" s="1767">
        <v>0</v>
      </c>
      <c r="AA64" s="1767">
        <v>0</v>
      </c>
      <c r="AB64" s="1767">
        <v>0</v>
      </c>
      <c r="AC64" s="1767">
        <v>0</v>
      </c>
      <c r="AD64" s="1767">
        <v>0</v>
      </c>
      <c r="AE64" s="1767">
        <v>0</v>
      </c>
      <c r="AF64" s="1767">
        <v>0</v>
      </c>
      <c r="AG64" s="1767">
        <v>0</v>
      </c>
      <c r="AH64" s="1767">
        <v>0</v>
      </c>
      <c r="AI64" s="1767">
        <v>0</v>
      </c>
      <c r="AJ64" s="1767">
        <v>0</v>
      </c>
      <c r="AK64" s="1767">
        <v>0</v>
      </c>
      <c r="AL64" s="1767">
        <v>0</v>
      </c>
      <c r="AM64" s="1767">
        <v>0</v>
      </c>
      <c r="AN64" s="1767">
        <v>0</v>
      </c>
      <c r="AO64" s="1767">
        <v>0</v>
      </c>
      <c r="AP64" s="1767">
        <v>0</v>
      </c>
      <c r="AQ64" s="1767">
        <v>0</v>
      </c>
      <c r="AR64" s="1767">
        <v>0</v>
      </c>
      <c r="AS64" s="1767">
        <v>0</v>
      </c>
      <c r="AT64" s="1767">
        <v>0</v>
      </c>
      <c r="AU64" s="1767">
        <v>0</v>
      </c>
      <c r="AV64" s="1767">
        <v>0</v>
      </c>
      <c r="AW64" s="1767">
        <v>0</v>
      </c>
      <c r="AX64" s="1767">
        <v>0</v>
      </c>
      <c r="AY64" s="1767">
        <v>0</v>
      </c>
      <c r="AZ64" s="1767">
        <v>0</v>
      </c>
      <c r="BA64" s="1767">
        <v>0</v>
      </c>
      <c r="BB64" s="1767">
        <v>0</v>
      </c>
      <c r="BC64" s="1767">
        <v>0</v>
      </c>
      <c r="BD64" s="1767">
        <v>0</v>
      </c>
      <c r="BE64" s="1767">
        <v>0</v>
      </c>
      <c r="BF64" s="1767">
        <v>0</v>
      </c>
      <c r="BG64" s="1767">
        <v>0</v>
      </c>
      <c r="BH64" s="1767">
        <v>0</v>
      </c>
      <c r="BI64" s="1767">
        <v>0</v>
      </c>
      <c r="BJ64" s="1767">
        <v>0</v>
      </c>
      <c r="BK64" s="1767">
        <v>0</v>
      </c>
      <c r="BL64" s="1767">
        <v>0</v>
      </c>
      <c r="BM64" s="1767">
        <v>0</v>
      </c>
      <c r="BN64" s="1767">
        <v>0</v>
      </c>
      <c r="BO64" s="1767">
        <v>0</v>
      </c>
      <c r="BP64" s="1767">
        <v>0</v>
      </c>
      <c r="BQ64" s="1767">
        <v>0</v>
      </c>
      <c r="BR64" s="1767">
        <v>0</v>
      </c>
      <c r="BS64" s="1767">
        <v>0</v>
      </c>
      <c r="BT64" s="1767">
        <v>0</v>
      </c>
      <c r="BU64" s="1767">
        <v>0</v>
      </c>
      <c r="BV64" s="1767">
        <v>0</v>
      </c>
      <c r="BW64" s="1767">
        <v>0</v>
      </c>
      <c r="BX64" s="1767">
        <v>0</v>
      </c>
      <c r="BY64" s="1767">
        <v>0</v>
      </c>
      <c r="BZ64" s="1767">
        <v>0</v>
      </c>
      <c r="CA64" s="1767">
        <v>0</v>
      </c>
      <c r="CB64" s="1767">
        <v>0</v>
      </c>
      <c r="CC64" s="1767">
        <v>0</v>
      </c>
      <c r="CD64" s="1767">
        <v>0</v>
      </c>
      <c r="CE64" s="1767">
        <v>0</v>
      </c>
      <c r="CF64" s="1767">
        <v>0</v>
      </c>
      <c r="CG64" s="1767">
        <v>0</v>
      </c>
      <c r="CH64" s="1767">
        <v>0</v>
      </c>
      <c r="CI64" s="1767">
        <v>0</v>
      </c>
      <c r="CJ64" s="1767">
        <v>0</v>
      </c>
      <c r="CK64" s="1767">
        <v>0</v>
      </c>
      <c r="CL64" s="1767">
        <v>0</v>
      </c>
      <c r="CM64" s="1767">
        <v>0</v>
      </c>
      <c r="CN64" s="1767">
        <v>0</v>
      </c>
      <c r="CO64" s="1767">
        <v>0</v>
      </c>
      <c r="CP64" s="1767">
        <v>0</v>
      </c>
    </row>
    <row r="65" spans="1:94" ht="27" customHeight="1" x14ac:dyDescent="0.2">
      <c r="A65" s="1847"/>
      <c r="B65" s="1856"/>
      <c r="C65" s="663" t="s">
        <v>619</v>
      </c>
      <c r="D65" s="936"/>
      <c r="E65" s="1844"/>
      <c r="F65" s="1225"/>
      <c r="G65" s="1767">
        <v>0</v>
      </c>
      <c r="H65" s="1767">
        <v>0</v>
      </c>
      <c r="I65" s="1767">
        <v>0</v>
      </c>
      <c r="J65" s="1767">
        <v>0</v>
      </c>
      <c r="K65" s="1767">
        <v>0</v>
      </c>
      <c r="L65" s="1767">
        <v>0</v>
      </c>
      <c r="M65" s="1767">
        <v>0</v>
      </c>
      <c r="N65" s="1767">
        <v>0</v>
      </c>
      <c r="O65" s="1767">
        <v>0</v>
      </c>
      <c r="P65" s="1767">
        <v>0</v>
      </c>
      <c r="Q65" s="1767">
        <v>0</v>
      </c>
      <c r="R65" s="1767">
        <v>0</v>
      </c>
      <c r="S65" s="1767">
        <v>0</v>
      </c>
      <c r="T65" s="1767">
        <v>0</v>
      </c>
      <c r="U65" s="1767">
        <v>0</v>
      </c>
      <c r="V65" s="1767">
        <v>0</v>
      </c>
      <c r="W65" s="1767">
        <v>0</v>
      </c>
      <c r="X65" s="1767">
        <v>0</v>
      </c>
      <c r="Y65" s="1767">
        <v>0</v>
      </c>
      <c r="Z65" s="1767">
        <v>0</v>
      </c>
      <c r="AA65" s="1767">
        <v>0</v>
      </c>
      <c r="AB65" s="1767">
        <v>0</v>
      </c>
      <c r="AC65" s="1767">
        <v>0</v>
      </c>
      <c r="AD65" s="1767">
        <v>0</v>
      </c>
      <c r="AE65" s="1767">
        <v>0</v>
      </c>
      <c r="AF65" s="1767">
        <v>0</v>
      </c>
      <c r="AG65" s="1767">
        <v>0</v>
      </c>
      <c r="AH65" s="1767">
        <v>0</v>
      </c>
      <c r="AI65" s="1767">
        <v>0</v>
      </c>
      <c r="AJ65" s="1767">
        <v>0</v>
      </c>
      <c r="AK65" s="1767">
        <v>0</v>
      </c>
      <c r="AL65" s="1767">
        <v>0</v>
      </c>
      <c r="AM65" s="1767">
        <v>0</v>
      </c>
      <c r="AN65" s="1767">
        <v>0</v>
      </c>
      <c r="AO65" s="1767">
        <v>0</v>
      </c>
      <c r="AP65" s="1767">
        <v>0</v>
      </c>
      <c r="AQ65" s="1767">
        <v>0</v>
      </c>
      <c r="AR65" s="1767">
        <v>0</v>
      </c>
      <c r="AS65" s="1767">
        <v>0</v>
      </c>
      <c r="AT65" s="1767">
        <v>0</v>
      </c>
      <c r="AU65" s="1767">
        <v>0</v>
      </c>
      <c r="AV65" s="1767">
        <v>0</v>
      </c>
      <c r="AW65" s="1767">
        <v>0</v>
      </c>
      <c r="AX65" s="1767">
        <v>0</v>
      </c>
      <c r="AY65" s="1767">
        <v>0</v>
      </c>
      <c r="AZ65" s="1767">
        <v>0</v>
      </c>
      <c r="BA65" s="1767">
        <v>0</v>
      </c>
      <c r="BB65" s="1767">
        <v>0</v>
      </c>
      <c r="BC65" s="1767">
        <v>0</v>
      </c>
      <c r="BD65" s="1767">
        <v>0</v>
      </c>
      <c r="BE65" s="1767">
        <v>0</v>
      </c>
      <c r="BF65" s="1767">
        <v>0</v>
      </c>
      <c r="BG65" s="1767">
        <v>0</v>
      </c>
      <c r="BH65" s="1767">
        <v>0</v>
      </c>
      <c r="BI65" s="1767">
        <v>0</v>
      </c>
      <c r="BJ65" s="1767">
        <v>0</v>
      </c>
      <c r="BK65" s="1767">
        <v>0</v>
      </c>
      <c r="BL65" s="1767">
        <v>0</v>
      </c>
      <c r="BM65" s="1767">
        <v>0</v>
      </c>
      <c r="BN65" s="1767">
        <v>0</v>
      </c>
      <c r="BO65" s="1767">
        <v>0</v>
      </c>
      <c r="BP65" s="1767">
        <v>0</v>
      </c>
      <c r="BQ65" s="1767">
        <v>0</v>
      </c>
      <c r="BR65" s="1767">
        <v>0</v>
      </c>
      <c r="BS65" s="1767">
        <v>0</v>
      </c>
      <c r="BT65" s="1767">
        <v>0</v>
      </c>
      <c r="BU65" s="1767">
        <v>0</v>
      </c>
      <c r="BV65" s="1767">
        <v>0</v>
      </c>
      <c r="BW65" s="1767">
        <v>0</v>
      </c>
      <c r="BX65" s="1767">
        <v>0</v>
      </c>
      <c r="BY65" s="1767">
        <v>0</v>
      </c>
      <c r="BZ65" s="1767">
        <v>0</v>
      </c>
      <c r="CA65" s="1767">
        <v>0</v>
      </c>
      <c r="CB65" s="1767">
        <v>0</v>
      </c>
      <c r="CC65" s="1767">
        <v>0</v>
      </c>
      <c r="CD65" s="1767">
        <v>0</v>
      </c>
      <c r="CE65" s="1767">
        <v>0</v>
      </c>
      <c r="CF65" s="1767">
        <v>0</v>
      </c>
      <c r="CG65" s="1767">
        <v>0</v>
      </c>
      <c r="CH65" s="1767">
        <v>0</v>
      </c>
      <c r="CI65" s="1767">
        <v>0</v>
      </c>
      <c r="CJ65" s="1767">
        <v>0</v>
      </c>
      <c r="CK65" s="1767">
        <v>0</v>
      </c>
      <c r="CL65" s="1767">
        <v>0</v>
      </c>
      <c r="CM65" s="1767">
        <v>0</v>
      </c>
      <c r="CN65" s="1767">
        <v>0</v>
      </c>
      <c r="CO65" s="1767">
        <v>0</v>
      </c>
      <c r="CP65" s="1767">
        <v>0</v>
      </c>
    </row>
    <row r="66" spans="1:94" ht="27" customHeight="1" x14ac:dyDescent="0.2">
      <c r="A66" s="1847"/>
      <c r="B66" s="1856"/>
      <c r="C66" s="663" t="s">
        <v>2437</v>
      </c>
      <c r="D66" s="936"/>
      <c r="E66" s="1844"/>
      <c r="F66" s="1225"/>
      <c r="G66" s="1767">
        <v>0</v>
      </c>
      <c r="H66" s="1767">
        <v>0</v>
      </c>
      <c r="I66" s="1767">
        <v>0</v>
      </c>
      <c r="J66" s="1767">
        <v>0</v>
      </c>
      <c r="K66" s="1767">
        <v>0</v>
      </c>
      <c r="L66" s="1767">
        <v>0</v>
      </c>
      <c r="M66" s="1767">
        <v>0</v>
      </c>
      <c r="N66" s="1767">
        <v>0</v>
      </c>
      <c r="O66" s="1767">
        <v>0</v>
      </c>
      <c r="P66" s="1767">
        <v>0</v>
      </c>
      <c r="Q66" s="1767">
        <v>0</v>
      </c>
      <c r="R66" s="1767">
        <v>0</v>
      </c>
      <c r="S66" s="1767">
        <v>0</v>
      </c>
      <c r="T66" s="1767">
        <v>0</v>
      </c>
      <c r="U66" s="1767">
        <v>0</v>
      </c>
      <c r="V66" s="1767">
        <v>0</v>
      </c>
      <c r="W66" s="1767">
        <v>0</v>
      </c>
      <c r="X66" s="1767">
        <v>0</v>
      </c>
      <c r="Y66" s="1767">
        <v>0</v>
      </c>
      <c r="Z66" s="1767">
        <v>0</v>
      </c>
      <c r="AA66" s="1767">
        <v>0</v>
      </c>
      <c r="AB66" s="1767">
        <v>0</v>
      </c>
      <c r="AC66" s="1767">
        <v>0</v>
      </c>
      <c r="AD66" s="1767">
        <v>0</v>
      </c>
      <c r="AE66" s="1767">
        <v>0</v>
      </c>
      <c r="AF66" s="1767">
        <v>0</v>
      </c>
      <c r="AG66" s="1767">
        <v>0</v>
      </c>
      <c r="AH66" s="1767">
        <v>0</v>
      </c>
      <c r="AI66" s="1767">
        <v>0</v>
      </c>
      <c r="AJ66" s="1767">
        <v>0</v>
      </c>
      <c r="AK66" s="1767">
        <v>0</v>
      </c>
      <c r="AL66" s="1767">
        <v>0</v>
      </c>
      <c r="AM66" s="1767">
        <v>0</v>
      </c>
      <c r="AN66" s="1767">
        <v>0</v>
      </c>
      <c r="AO66" s="1767">
        <v>0</v>
      </c>
      <c r="AP66" s="1767">
        <v>0</v>
      </c>
      <c r="AQ66" s="1767">
        <v>0</v>
      </c>
      <c r="AR66" s="1767">
        <v>0</v>
      </c>
      <c r="AS66" s="1767">
        <v>0</v>
      </c>
      <c r="AT66" s="1767">
        <v>0</v>
      </c>
      <c r="AU66" s="1767">
        <v>0</v>
      </c>
      <c r="AV66" s="1767">
        <v>0</v>
      </c>
      <c r="AW66" s="1767">
        <v>0</v>
      </c>
      <c r="AX66" s="1767">
        <v>0</v>
      </c>
      <c r="AY66" s="1767">
        <v>0</v>
      </c>
      <c r="AZ66" s="1767">
        <v>0</v>
      </c>
      <c r="BA66" s="1767">
        <v>0</v>
      </c>
      <c r="BB66" s="1767">
        <v>0</v>
      </c>
      <c r="BC66" s="1767">
        <v>0</v>
      </c>
      <c r="BD66" s="1767">
        <v>0</v>
      </c>
      <c r="BE66" s="1767">
        <v>0</v>
      </c>
      <c r="BF66" s="1767">
        <v>0</v>
      </c>
      <c r="BG66" s="1767">
        <v>0</v>
      </c>
      <c r="BH66" s="1767">
        <v>0</v>
      </c>
      <c r="BI66" s="1767">
        <v>0</v>
      </c>
      <c r="BJ66" s="1767">
        <v>0</v>
      </c>
      <c r="BK66" s="1767">
        <v>0</v>
      </c>
      <c r="BL66" s="1767">
        <v>0</v>
      </c>
      <c r="BM66" s="1767">
        <v>0</v>
      </c>
      <c r="BN66" s="1767">
        <v>0</v>
      </c>
      <c r="BO66" s="1767">
        <v>0</v>
      </c>
      <c r="BP66" s="1767">
        <v>0</v>
      </c>
      <c r="BQ66" s="1767">
        <v>0</v>
      </c>
      <c r="BR66" s="1767">
        <v>0</v>
      </c>
      <c r="BS66" s="1767">
        <v>0</v>
      </c>
      <c r="BT66" s="1767">
        <v>0</v>
      </c>
      <c r="BU66" s="1767">
        <v>0</v>
      </c>
      <c r="BV66" s="1767">
        <v>0</v>
      </c>
      <c r="BW66" s="1767">
        <v>0</v>
      </c>
      <c r="BX66" s="1767">
        <v>0</v>
      </c>
      <c r="BY66" s="1767">
        <v>0</v>
      </c>
      <c r="BZ66" s="1767">
        <v>0</v>
      </c>
      <c r="CA66" s="1767">
        <v>0</v>
      </c>
      <c r="CB66" s="1767">
        <v>0</v>
      </c>
      <c r="CC66" s="1767">
        <v>0</v>
      </c>
      <c r="CD66" s="1767">
        <v>0</v>
      </c>
      <c r="CE66" s="1767">
        <v>0</v>
      </c>
      <c r="CF66" s="1767">
        <v>0</v>
      </c>
      <c r="CG66" s="1767">
        <v>0</v>
      </c>
      <c r="CH66" s="1767">
        <v>0</v>
      </c>
      <c r="CI66" s="1767">
        <v>0</v>
      </c>
      <c r="CJ66" s="1767">
        <v>0</v>
      </c>
      <c r="CK66" s="1767">
        <v>0</v>
      </c>
      <c r="CL66" s="1767">
        <v>0</v>
      </c>
      <c r="CM66" s="1767">
        <v>0</v>
      </c>
      <c r="CN66" s="1767">
        <v>0</v>
      </c>
      <c r="CO66" s="1767">
        <v>0</v>
      </c>
      <c r="CP66" s="1767">
        <v>0</v>
      </c>
    </row>
    <row r="67" spans="1:94" ht="15" customHeight="1" x14ac:dyDescent="0.2">
      <c r="A67" s="1847"/>
      <c r="B67" s="1856"/>
      <c r="C67" s="663" t="s">
        <v>2093</v>
      </c>
      <c r="D67" s="936"/>
      <c r="E67" s="1844"/>
      <c r="F67" s="1225"/>
      <c r="G67" s="1767">
        <v>0</v>
      </c>
      <c r="H67" s="1767">
        <v>0</v>
      </c>
      <c r="I67" s="1767">
        <v>0</v>
      </c>
      <c r="J67" s="1767">
        <v>0</v>
      </c>
      <c r="K67" s="1767">
        <v>0</v>
      </c>
      <c r="L67" s="1767">
        <v>0</v>
      </c>
      <c r="M67" s="1767">
        <v>0</v>
      </c>
      <c r="N67" s="1767">
        <v>0</v>
      </c>
      <c r="O67" s="1767">
        <v>0</v>
      </c>
      <c r="P67" s="1767">
        <v>0</v>
      </c>
      <c r="Q67" s="1767">
        <v>0</v>
      </c>
      <c r="R67" s="1767">
        <v>0</v>
      </c>
      <c r="S67" s="1767">
        <v>0</v>
      </c>
      <c r="T67" s="1767">
        <v>0</v>
      </c>
      <c r="U67" s="1767">
        <v>0</v>
      </c>
      <c r="V67" s="1767">
        <v>0</v>
      </c>
      <c r="W67" s="1767">
        <v>0</v>
      </c>
      <c r="X67" s="1767">
        <v>0</v>
      </c>
      <c r="Y67" s="1767">
        <v>0</v>
      </c>
      <c r="Z67" s="1767">
        <v>0</v>
      </c>
      <c r="AA67" s="1767">
        <v>0</v>
      </c>
      <c r="AB67" s="1767">
        <v>0</v>
      </c>
      <c r="AC67" s="1767">
        <v>0</v>
      </c>
      <c r="AD67" s="1767">
        <v>0</v>
      </c>
      <c r="AE67" s="1767">
        <v>0</v>
      </c>
      <c r="AF67" s="1767">
        <v>0</v>
      </c>
      <c r="AG67" s="1767">
        <v>0</v>
      </c>
      <c r="AH67" s="1767">
        <v>0</v>
      </c>
      <c r="AI67" s="1767">
        <v>0</v>
      </c>
      <c r="AJ67" s="1767">
        <v>0</v>
      </c>
      <c r="AK67" s="1767">
        <v>0</v>
      </c>
      <c r="AL67" s="1767">
        <v>0</v>
      </c>
      <c r="AM67" s="1767">
        <v>0</v>
      </c>
      <c r="AN67" s="1767">
        <v>0</v>
      </c>
      <c r="AO67" s="1767">
        <v>0</v>
      </c>
      <c r="AP67" s="1767">
        <v>0</v>
      </c>
      <c r="AQ67" s="1767">
        <v>0</v>
      </c>
      <c r="AR67" s="1767">
        <v>0</v>
      </c>
      <c r="AS67" s="1767">
        <v>0</v>
      </c>
      <c r="AT67" s="1767">
        <v>0</v>
      </c>
      <c r="AU67" s="1767">
        <v>0</v>
      </c>
      <c r="AV67" s="1767">
        <v>0</v>
      </c>
      <c r="AW67" s="1767">
        <v>0</v>
      </c>
      <c r="AX67" s="1767">
        <v>0</v>
      </c>
      <c r="AY67" s="1767">
        <v>0</v>
      </c>
      <c r="AZ67" s="1767">
        <v>0</v>
      </c>
      <c r="BA67" s="1767">
        <v>0</v>
      </c>
      <c r="BB67" s="1767">
        <v>0</v>
      </c>
      <c r="BC67" s="1767">
        <v>0</v>
      </c>
      <c r="BD67" s="1767">
        <v>0</v>
      </c>
      <c r="BE67" s="1767">
        <v>0</v>
      </c>
      <c r="BF67" s="1767">
        <v>0</v>
      </c>
      <c r="BG67" s="1767">
        <v>0</v>
      </c>
      <c r="BH67" s="1767">
        <v>0</v>
      </c>
      <c r="BI67" s="1767">
        <v>0</v>
      </c>
      <c r="BJ67" s="1767">
        <v>0</v>
      </c>
      <c r="BK67" s="1767">
        <v>0</v>
      </c>
      <c r="BL67" s="1767">
        <v>0</v>
      </c>
      <c r="BM67" s="1767">
        <v>0</v>
      </c>
      <c r="BN67" s="1767">
        <v>0</v>
      </c>
      <c r="BO67" s="1767">
        <v>0</v>
      </c>
      <c r="BP67" s="1767">
        <v>0</v>
      </c>
      <c r="BQ67" s="1767">
        <v>0</v>
      </c>
      <c r="BR67" s="1767">
        <v>0</v>
      </c>
      <c r="BS67" s="1767">
        <v>0</v>
      </c>
      <c r="BT67" s="1767">
        <v>0</v>
      </c>
      <c r="BU67" s="1767">
        <v>0</v>
      </c>
      <c r="BV67" s="1767">
        <v>0</v>
      </c>
      <c r="BW67" s="1767">
        <v>0</v>
      </c>
      <c r="BX67" s="1767">
        <v>0</v>
      </c>
      <c r="BY67" s="1767">
        <v>0</v>
      </c>
      <c r="BZ67" s="1767">
        <v>0</v>
      </c>
      <c r="CA67" s="1767">
        <v>0</v>
      </c>
      <c r="CB67" s="1767">
        <v>0</v>
      </c>
      <c r="CC67" s="1767">
        <v>0</v>
      </c>
      <c r="CD67" s="1767">
        <v>0</v>
      </c>
      <c r="CE67" s="1767">
        <v>0</v>
      </c>
      <c r="CF67" s="1767">
        <v>0</v>
      </c>
      <c r="CG67" s="1767">
        <v>0</v>
      </c>
      <c r="CH67" s="1767">
        <v>0</v>
      </c>
      <c r="CI67" s="1767">
        <v>0</v>
      </c>
      <c r="CJ67" s="1767">
        <v>0</v>
      </c>
      <c r="CK67" s="1767">
        <v>0</v>
      </c>
      <c r="CL67" s="1767">
        <v>0</v>
      </c>
      <c r="CM67" s="1767">
        <v>0</v>
      </c>
      <c r="CN67" s="1767">
        <v>0</v>
      </c>
      <c r="CO67" s="1767">
        <v>0</v>
      </c>
      <c r="CP67" s="1767">
        <v>0</v>
      </c>
    </row>
    <row r="68" spans="1:94" ht="15" customHeight="1" thickBot="1" x14ac:dyDescent="0.25">
      <c r="A68" s="1847"/>
      <c r="B68" s="1856"/>
      <c r="C68" s="851" t="s">
        <v>620</v>
      </c>
      <c r="D68" s="949"/>
      <c r="E68" s="1844"/>
      <c r="F68" s="1225"/>
      <c r="G68" s="1767">
        <v>0</v>
      </c>
      <c r="H68" s="1767">
        <v>0</v>
      </c>
      <c r="I68" s="1767">
        <v>0</v>
      </c>
      <c r="J68" s="1767">
        <v>0</v>
      </c>
      <c r="K68" s="1767">
        <v>0</v>
      </c>
      <c r="L68" s="1767">
        <v>0</v>
      </c>
      <c r="M68" s="1767">
        <v>0</v>
      </c>
      <c r="N68" s="1767">
        <v>0</v>
      </c>
      <c r="O68" s="1767">
        <v>0</v>
      </c>
      <c r="P68" s="1767">
        <v>0</v>
      </c>
      <c r="Q68" s="1767">
        <v>0</v>
      </c>
      <c r="R68" s="1767">
        <v>0</v>
      </c>
      <c r="S68" s="1767">
        <v>0</v>
      </c>
      <c r="T68" s="1767">
        <v>0</v>
      </c>
      <c r="U68" s="1767">
        <v>0</v>
      </c>
      <c r="V68" s="1767">
        <v>0</v>
      </c>
      <c r="W68" s="1767">
        <v>0</v>
      </c>
      <c r="X68" s="1767">
        <v>0</v>
      </c>
      <c r="Y68" s="1767">
        <v>0</v>
      </c>
      <c r="Z68" s="1767">
        <v>0</v>
      </c>
      <c r="AA68" s="1767">
        <v>0</v>
      </c>
      <c r="AB68" s="1767">
        <v>0</v>
      </c>
      <c r="AC68" s="1767">
        <v>0</v>
      </c>
      <c r="AD68" s="1767">
        <v>0</v>
      </c>
      <c r="AE68" s="1767">
        <v>0</v>
      </c>
      <c r="AF68" s="1767">
        <v>0</v>
      </c>
      <c r="AG68" s="1767">
        <v>0</v>
      </c>
      <c r="AH68" s="1767">
        <v>0</v>
      </c>
      <c r="AI68" s="1767">
        <v>0</v>
      </c>
      <c r="AJ68" s="1767">
        <v>0</v>
      </c>
      <c r="AK68" s="1767">
        <v>0</v>
      </c>
      <c r="AL68" s="1767">
        <v>0</v>
      </c>
      <c r="AM68" s="1767">
        <v>0</v>
      </c>
      <c r="AN68" s="1767">
        <v>0</v>
      </c>
      <c r="AO68" s="1767">
        <v>0</v>
      </c>
      <c r="AP68" s="1767">
        <v>0</v>
      </c>
      <c r="AQ68" s="1767">
        <v>0</v>
      </c>
      <c r="AR68" s="1767">
        <v>0</v>
      </c>
      <c r="AS68" s="1767">
        <v>0</v>
      </c>
      <c r="AT68" s="1767">
        <v>0</v>
      </c>
      <c r="AU68" s="1767">
        <v>0</v>
      </c>
      <c r="AV68" s="1767">
        <v>0</v>
      </c>
      <c r="AW68" s="1767">
        <v>0</v>
      </c>
      <c r="AX68" s="1767">
        <v>0</v>
      </c>
      <c r="AY68" s="1767">
        <v>0</v>
      </c>
      <c r="AZ68" s="1767">
        <v>0</v>
      </c>
      <c r="BA68" s="1767">
        <v>0</v>
      </c>
      <c r="BB68" s="1767">
        <v>0</v>
      </c>
      <c r="BC68" s="1767">
        <v>0</v>
      </c>
      <c r="BD68" s="1767">
        <v>0</v>
      </c>
      <c r="BE68" s="1767">
        <v>0</v>
      </c>
      <c r="BF68" s="1767">
        <v>0</v>
      </c>
      <c r="BG68" s="1767">
        <v>0</v>
      </c>
      <c r="BH68" s="1767">
        <v>0</v>
      </c>
      <c r="BI68" s="1767">
        <v>0</v>
      </c>
      <c r="BJ68" s="1767">
        <v>0</v>
      </c>
      <c r="BK68" s="1767">
        <v>0</v>
      </c>
      <c r="BL68" s="1767">
        <v>0</v>
      </c>
      <c r="BM68" s="1767">
        <v>0</v>
      </c>
      <c r="BN68" s="1767">
        <v>0</v>
      </c>
      <c r="BO68" s="1767">
        <v>0</v>
      </c>
      <c r="BP68" s="1767">
        <v>0</v>
      </c>
      <c r="BQ68" s="1767">
        <v>0</v>
      </c>
      <c r="BR68" s="1767">
        <v>0</v>
      </c>
      <c r="BS68" s="1767">
        <v>0</v>
      </c>
      <c r="BT68" s="1767">
        <v>0</v>
      </c>
      <c r="BU68" s="1767">
        <v>0</v>
      </c>
      <c r="BV68" s="1767">
        <v>0</v>
      </c>
      <c r="BW68" s="1767">
        <v>0</v>
      </c>
      <c r="BX68" s="1767">
        <v>0</v>
      </c>
      <c r="BY68" s="1767">
        <v>0</v>
      </c>
      <c r="BZ68" s="1767">
        <v>0</v>
      </c>
      <c r="CA68" s="1767">
        <v>0</v>
      </c>
      <c r="CB68" s="1767">
        <v>0</v>
      </c>
      <c r="CC68" s="1767">
        <v>0</v>
      </c>
      <c r="CD68" s="1767">
        <v>0</v>
      </c>
      <c r="CE68" s="1767">
        <v>0</v>
      </c>
      <c r="CF68" s="1767">
        <v>0</v>
      </c>
      <c r="CG68" s="1767">
        <v>0</v>
      </c>
      <c r="CH68" s="1767">
        <v>0</v>
      </c>
      <c r="CI68" s="1767">
        <v>0</v>
      </c>
      <c r="CJ68" s="1767">
        <v>0</v>
      </c>
      <c r="CK68" s="1767">
        <v>0</v>
      </c>
      <c r="CL68" s="1767">
        <v>0</v>
      </c>
      <c r="CM68" s="1767">
        <v>0</v>
      </c>
      <c r="CN68" s="1767">
        <v>0</v>
      </c>
      <c r="CO68" s="1767">
        <v>0</v>
      </c>
      <c r="CP68" s="1767">
        <v>0</v>
      </c>
    </row>
    <row r="69" spans="1:94" ht="45" customHeight="1" thickBot="1" x14ac:dyDescent="0.25">
      <c r="A69" s="1849" t="s">
        <v>1287</v>
      </c>
      <c r="B69" s="1846" t="s">
        <v>163</v>
      </c>
      <c r="C69" s="1777" t="s">
        <v>2512</v>
      </c>
      <c r="D69" s="947"/>
      <c r="E69" s="1830" t="s">
        <v>2069</v>
      </c>
      <c r="F69" s="1225"/>
      <c r="G69" s="1742"/>
      <c r="H69" s="1742"/>
      <c r="I69" s="1742"/>
      <c r="J69" s="1742"/>
      <c r="K69" s="1742"/>
      <c r="L69" s="1742"/>
      <c r="M69" s="1742"/>
      <c r="N69" s="1742"/>
      <c r="O69" s="1742"/>
      <c r="P69" s="1742"/>
      <c r="Q69" s="1742"/>
      <c r="R69" s="1742"/>
      <c r="S69" s="1742"/>
      <c r="T69" s="1742"/>
      <c r="U69" s="1742"/>
      <c r="V69" s="1742"/>
      <c r="W69" s="1742"/>
      <c r="X69" s="1742"/>
      <c r="Y69" s="1742"/>
      <c r="Z69" s="1742"/>
      <c r="AA69" s="1742"/>
      <c r="AB69" s="1742"/>
      <c r="AC69" s="1742"/>
      <c r="AD69" s="1742"/>
      <c r="AE69" s="1742"/>
      <c r="AF69" s="1742"/>
      <c r="AG69" s="1742"/>
      <c r="AH69" s="1742"/>
      <c r="AI69" s="1742"/>
      <c r="AJ69" s="1742"/>
      <c r="AK69" s="1742"/>
      <c r="AL69" s="1742"/>
      <c r="AM69" s="1742"/>
      <c r="AN69" s="1742"/>
      <c r="AO69" s="1742"/>
      <c r="AP69" s="1742"/>
      <c r="AQ69" s="1742"/>
      <c r="AR69" s="1742"/>
      <c r="AS69" s="1742"/>
      <c r="AT69" s="1742"/>
      <c r="AU69" s="1742"/>
      <c r="AV69" s="1742"/>
      <c r="AW69" s="1742"/>
      <c r="AX69" s="1742"/>
      <c r="AY69" s="1742"/>
      <c r="AZ69" s="1742"/>
      <c r="BA69" s="1742"/>
      <c r="BB69" s="1742"/>
      <c r="BC69" s="1742"/>
      <c r="BD69" s="1742"/>
      <c r="BE69" s="1742"/>
      <c r="BF69" s="1742"/>
      <c r="BG69" s="1742"/>
      <c r="BH69" s="1742"/>
      <c r="BI69" s="1742"/>
      <c r="BJ69" s="1742"/>
      <c r="BK69" s="1742"/>
      <c r="BL69" s="1742"/>
      <c r="BM69" s="1742"/>
      <c r="BN69" s="1742"/>
      <c r="BO69" s="1742"/>
      <c r="BP69" s="1742"/>
      <c r="BQ69" s="1742"/>
      <c r="BR69" s="1742"/>
      <c r="BS69" s="1742"/>
      <c r="BT69" s="1742"/>
      <c r="BU69" s="1742"/>
      <c r="BV69" s="1742"/>
      <c r="BW69" s="1742"/>
      <c r="BX69" s="1742"/>
      <c r="BY69" s="1742"/>
      <c r="BZ69" s="1742"/>
      <c r="CA69" s="1742"/>
      <c r="CB69" s="1742"/>
      <c r="CC69" s="1742"/>
      <c r="CD69" s="1742"/>
      <c r="CE69" s="1742"/>
      <c r="CF69" s="1742"/>
      <c r="CG69" s="1742"/>
      <c r="CH69" s="1742"/>
      <c r="CI69" s="1742"/>
      <c r="CJ69" s="1742"/>
      <c r="CK69" s="1742"/>
      <c r="CL69" s="1742"/>
      <c r="CM69" s="1742"/>
      <c r="CN69" s="1742"/>
      <c r="CO69" s="1742"/>
      <c r="CP69" s="1742"/>
    </row>
    <row r="70" spans="1:94" ht="15" customHeight="1" x14ac:dyDescent="0.2">
      <c r="A70" s="1889"/>
      <c r="B70" s="1856"/>
      <c r="C70" s="660" t="s">
        <v>2313</v>
      </c>
      <c r="D70" s="936"/>
      <c r="E70" s="1831"/>
      <c r="F70" s="1225"/>
      <c r="G70" s="1767">
        <v>0</v>
      </c>
      <c r="H70" s="1767">
        <v>0</v>
      </c>
      <c r="I70" s="1767">
        <v>0</v>
      </c>
      <c r="J70" s="1767">
        <v>0</v>
      </c>
      <c r="K70" s="1767">
        <v>0</v>
      </c>
      <c r="L70" s="1767">
        <v>0</v>
      </c>
      <c r="M70" s="1767">
        <v>0</v>
      </c>
      <c r="N70" s="1767">
        <v>0</v>
      </c>
      <c r="O70" s="1767">
        <v>0</v>
      </c>
      <c r="P70" s="1767">
        <v>0</v>
      </c>
      <c r="Q70" s="1767">
        <v>0</v>
      </c>
      <c r="R70" s="1767">
        <v>0</v>
      </c>
      <c r="S70" s="1767">
        <v>0</v>
      </c>
      <c r="T70" s="1767">
        <v>0</v>
      </c>
      <c r="U70" s="1767">
        <v>0</v>
      </c>
      <c r="V70" s="1767">
        <v>0</v>
      </c>
      <c r="W70" s="1767">
        <v>0</v>
      </c>
      <c r="X70" s="1767">
        <v>0</v>
      </c>
      <c r="Y70" s="1767">
        <v>0</v>
      </c>
      <c r="Z70" s="1767">
        <v>0</v>
      </c>
      <c r="AA70" s="1767">
        <v>0</v>
      </c>
      <c r="AB70" s="1767">
        <v>0</v>
      </c>
      <c r="AC70" s="1767">
        <v>0</v>
      </c>
      <c r="AD70" s="1767">
        <v>0</v>
      </c>
      <c r="AE70" s="1767">
        <v>0</v>
      </c>
      <c r="AF70" s="1767">
        <v>0</v>
      </c>
      <c r="AG70" s="1767">
        <v>0</v>
      </c>
      <c r="AH70" s="1767">
        <v>0</v>
      </c>
      <c r="AI70" s="1767">
        <v>0</v>
      </c>
      <c r="AJ70" s="1767">
        <v>0</v>
      </c>
      <c r="AK70" s="1767">
        <v>0</v>
      </c>
      <c r="AL70" s="1767">
        <v>0</v>
      </c>
      <c r="AM70" s="1767">
        <v>0</v>
      </c>
      <c r="AN70" s="1767">
        <v>0</v>
      </c>
      <c r="AO70" s="1767">
        <v>0</v>
      </c>
      <c r="AP70" s="1767">
        <v>0</v>
      </c>
      <c r="AQ70" s="1767">
        <v>0</v>
      </c>
      <c r="AR70" s="1767">
        <v>0</v>
      </c>
      <c r="AS70" s="1767">
        <v>0</v>
      </c>
      <c r="AT70" s="1767">
        <v>0</v>
      </c>
      <c r="AU70" s="1767">
        <v>0</v>
      </c>
      <c r="AV70" s="1767">
        <v>0</v>
      </c>
      <c r="AW70" s="1767">
        <v>0</v>
      </c>
      <c r="AX70" s="1767">
        <v>0</v>
      </c>
      <c r="AY70" s="1767">
        <v>0</v>
      </c>
      <c r="AZ70" s="1767">
        <v>0</v>
      </c>
      <c r="BA70" s="1767">
        <v>0</v>
      </c>
      <c r="BB70" s="1767">
        <v>0</v>
      </c>
      <c r="BC70" s="1767">
        <v>0</v>
      </c>
      <c r="BD70" s="1767">
        <v>0</v>
      </c>
      <c r="BE70" s="1767">
        <v>0</v>
      </c>
      <c r="BF70" s="1767">
        <v>0</v>
      </c>
      <c r="BG70" s="1767">
        <v>0</v>
      </c>
      <c r="BH70" s="1767">
        <v>0</v>
      </c>
      <c r="BI70" s="1767">
        <v>0</v>
      </c>
      <c r="BJ70" s="1767">
        <v>0</v>
      </c>
      <c r="BK70" s="1767">
        <v>0</v>
      </c>
      <c r="BL70" s="1767">
        <v>0</v>
      </c>
      <c r="BM70" s="1767">
        <v>0</v>
      </c>
      <c r="BN70" s="1767">
        <v>0</v>
      </c>
      <c r="BO70" s="1767">
        <v>0</v>
      </c>
      <c r="BP70" s="1767">
        <v>0</v>
      </c>
      <c r="BQ70" s="1767">
        <v>0</v>
      </c>
      <c r="BR70" s="1767">
        <v>0</v>
      </c>
      <c r="BS70" s="1767">
        <v>0</v>
      </c>
      <c r="BT70" s="1767">
        <v>0</v>
      </c>
      <c r="BU70" s="1767">
        <v>0</v>
      </c>
      <c r="BV70" s="1767">
        <v>0</v>
      </c>
      <c r="BW70" s="1767">
        <v>0</v>
      </c>
      <c r="BX70" s="1767">
        <v>0</v>
      </c>
      <c r="BY70" s="1767">
        <v>0</v>
      </c>
      <c r="BZ70" s="1767">
        <v>0</v>
      </c>
      <c r="CA70" s="1767">
        <v>0</v>
      </c>
      <c r="CB70" s="1767">
        <v>0</v>
      </c>
      <c r="CC70" s="1767">
        <v>0</v>
      </c>
      <c r="CD70" s="1767">
        <v>0</v>
      </c>
      <c r="CE70" s="1767">
        <v>0</v>
      </c>
      <c r="CF70" s="1767">
        <v>0</v>
      </c>
      <c r="CG70" s="1767">
        <v>0</v>
      </c>
      <c r="CH70" s="1767">
        <v>0</v>
      </c>
      <c r="CI70" s="1767">
        <v>0</v>
      </c>
      <c r="CJ70" s="1767">
        <v>0</v>
      </c>
      <c r="CK70" s="1767">
        <v>0</v>
      </c>
      <c r="CL70" s="1767">
        <v>0</v>
      </c>
      <c r="CM70" s="1767">
        <v>0</v>
      </c>
      <c r="CN70" s="1767">
        <v>0</v>
      </c>
      <c r="CO70" s="1767">
        <v>0</v>
      </c>
      <c r="CP70" s="1767">
        <v>0</v>
      </c>
    </row>
    <row r="71" spans="1:94" ht="15" customHeight="1" x14ac:dyDescent="0.2">
      <c r="A71" s="1889"/>
      <c r="B71" s="1856"/>
      <c r="C71" s="653" t="s">
        <v>2094</v>
      </c>
      <c r="D71" s="936"/>
      <c r="E71" s="1831"/>
      <c r="F71" s="1225"/>
      <c r="G71" s="1767">
        <v>0</v>
      </c>
      <c r="H71" s="1767">
        <v>0</v>
      </c>
      <c r="I71" s="1767">
        <v>0</v>
      </c>
      <c r="J71" s="1767">
        <v>0</v>
      </c>
      <c r="K71" s="1767">
        <v>0</v>
      </c>
      <c r="L71" s="1767">
        <v>0</v>
      </c>
      <c r="M71" s="1767">
        <v>0</v>
      </c>
      <c r="N71" s="1767">
        <v>0</v>
      </c>
      <c r="O71" s="1767">
        <v>0</v>
      </c>
      <c r="P71" s="1767">
        <v>0</v>
      </c>
      <c r="Q71" s="1767">
        <v>0</v>
      </c>
      <c r="R71" s="1767">
        <v>0</v>
      </c>
      <c r="S71" s="1767">
        <v>0</v>
      </c>
      <c r="T71" s="1767">
        <v>0</v>
      </c>
      <c r="U71" s="1767">
        <v>0</v>
      </c>
      <c r="V71" s="1767">
        <v>0</v>
      </c>
      <c r="W71" s="1767">
        <v>0</v>
      </c>
      <c r="X71" s="1767">
        <v>0</v>
      </c>
      <c r="Y71" s="1767">
        <v>0</v>
      </c>
      <c r="Z71" s="1767">
        <v>0</v>
      </c>
      <c r="AA71" s="1767">
        <v>0</v>
      </c>
      <c r="AB71" s="1767">
        <v>0</v>
      </c>
      <c r="AC71" s="1767">
        <v>0</v>
      </c>
      <c r="AD71" s="1767">
        <v>0</v>
      </c>
      <c r="AE71" s="1767">
        <v>0</v>
      </c>
      <c r="AF71" s="1767">
        <v>0</v>
      </c>
      <c r="AG71" s="1767">
        <v>0</v>
      </c>
      <c r="AH71" s="1767">
        <v>0</v>
      </c>
      <c r="AI71" s="1767">
        <v>0</v>
      </c>
      <c r="AJ71" s="1767">
        <v>0</v>
      </c>
      <c r="AK71" s="1767">
        <v>0</v>
      </c>
      <c r="AL71" s="1767">
        <v>0</v>
      </c>
      <c r="AM71" s="1767">
        <v>0</v>
      </c>
      <c r="AN71" s="1767">
        <v>0</v>
      </c>
      <c r="AO71" s="1767">
        <v>0</v>
      </c>
      <c r="AP71" s="1767">
        <v>0</v>
      </c>
      <c r="AQ71" s="1767">
        <v>0</v>
      </c>
      <c r="AR71" s="1767">
        <v>0</v>
      </c>
      <c r="AS71" s="1767">
        <v>0</v>
      </c>
      <c r="AT71" s="1767">
        <v>0</v>
      </c>
      <c r="AU71" s="1767">
        <v>0</v>
      </c>
      <c r="AV71" s="1767">
        <v>0</v>
      </c>
      <c r="AW71" s="1767">
        <v>0</v>
      </c>
      <c r="AX71" s="1767">
        <v>0</v>
      </c>
      <c r="AY71" s="1767">
        <v>0</v>
      </c>
      <c r="AZ71" s="1767">
        <v>0</v>
      </c>
      <c r="BA71" s="1767">
        <v>0</v>
      </c>
      <c r="BB71" s="1767">
        <v>0</v>
      </c>
      <c r="BC71" s="1767">
        <v>0</v>
      </c>
      <c r="BD71" s="1767">
        <v>0</v>
      </c>
      <c r="BE71" s="1767">
        <v>0</v>
      </c>
      <c r="BF71" s="1767">
        <v>0</v>
      </c>
      <c r="BG71" s="1767">
        <v>0</v>
      </c>
      <c r="BH71" s="1767">
        <v>0</v>
      </c>
      <c r="BI71" s="1767">
        <v>0</v>
      </c>
      <c r="BJ71" s="1767">
        <v>0</v>
      </c>
      <c r="BK71" s="1767">
        <v>0</v>
      </c>
      <c r="BL71" s="1767">
        <v>0</v>
      </c>
      <c r="BM71" s="1767">
        <v>0</v>
      </c>
      <c r="BN71" s="1767">
        <v>0</v>
      </c>
      <c r="BO71" s="1767">
        <v>0</v>
      </c>
      <c r="BP71" s="1767">
        <v>0</v>
      </c>
      <c r="BQ71" s="1767">
        <v>0</v>
      </c>
      <c r="BR71" s="1767">
        <v>0</v>
      </c>
      <c r="BS71" s="1767">
        <v>0</v>
      </c>
      <c r="BT71" s="1767">
        <v>0</v>
      </c>
      <c r="BU71" s="1767">
        <v>0</v>
      </c>
      <c r="BV71" s="1767">
        <v>0</v>
      </c>
      <c r="BW71" s="1767">
        <v>0</v>
      </c>
      <c r="BX71" s="1767">
        <v>0</v>
      </c>
      <c r="BY71" s="1767">
        <v>0</v>
      </c>
      <c r="BZ71" s="1767">
        <v>0</v>
      </c>
      <c r="CA71" s="1767">
        <v>0</v>
      </c>
      <c r="CB71" s="1767">
        <v>0</v>
      </c>
      <c r="CC71" s="1767">
        <v>0</v>
      </c>
      <c r="CD71" s="1767">
        <v>0</v>
      </c>
      <c r="CE71" s="1767">
        <v>0</v>
      </c>
      <c r="CF71" s="1767">
        <v>0</v>
      </c>
      <c r="CG71" s="1767">
        <v>0</v>
      </c>
      <c r="CH71" s="1767">
        <v>0</v>
      </c>
      <c r="CI71" s="1767">
        <v>0</v>
      </c>
      <c r="CJ71" s="1767">
        <v>0</v>
      </c>
      <c r="CK71" s="1767">
        <v>0</v>
      </c>
      <c r="CL71" s="1767">
        <v>0</v>
      </c>
      <c r="CM71" s="1767">
        <v>0</v>
      </c>
      <c r="CN71" s="1767">
        <v>0</v>
      </c>
      <c r="CO71" s="1767">
        <v>0</v>
      </c>
      <c r="CP71" s="1767">
        <v>0</v>
      </c>
    </row>
    <row r="72" spans="1:94" ht="15" customHeight="1" thickBot="1" x14ac:dyDescent="0.25">
      <c r="A72" s="1890"/>
      <c r="B72" s="1857"/>
      <c r="C72" s="659" t="s">
        <v>2095</v>
      </c>
      <c r="D72" s="950"/>
      <c r="E72" s="1832"/>
      <c r="F72" s="1225"/>
      <c r="G72" s="1767">
        <v>0</v>
      </c>
      <c r="H72" s="1767">
        <v>0</v>
      </c>
      <c r="I72" s="1767">
        <v>0</v>
      </c>
      <c r="J72" s="1767">
        <v>0</v>
      </c>
      <c r="K72" s="1767">
        <v>0</v>
      </c>
      <c r="L72" s="1767">
        <v>0</v>
      </c>
      <c r="M72" s="1767">
        <v>0</v>
      </c>
      <c r="N72" s="1767">
        <v>0</v>
      </c>
      <c r="O72" s="1767">
        <v>0</v>
      </c>
      <c r="P72" s="1767">
        <v>0</v>
      </c>
      <c r="Q72" s="1767">
        <v>0</v>
      </c>
      <c r="R72" s="1767">
        <v>0</v>
      </c>
      <c r="S72" s="1767">
        <v>0</v>
      </c>
      <c r="T72" s="1767">
        <v>0</v>
      </c>
      <c r="U72" s="1767">
        <v>0</v>
      </c>
      <c r="V72" s="1767">
        <v>0</v>
      </c>
      <c r="W72" s="1767">
        <v>0</v>
      </c>
      <c r="X72" s="1767">
        <v>0</v>
      </c>
      <c r="Y72" s="1767">
        <v>0</v>
      </c>
      <c r="Z72" s="1767">
        <v>0</v>
      </c>
      <c r="AA72" s="1767">
        <v>0</v>
      </c>
      <c r="AB72" s="1767">
        <v>0</v>
      </c>
      <c r="AC72" s="1767">
        <v>0</v>
      </c>
      <c r="AD72" s="1767">
        <v>0</v>
      </c>
      <c r="AE72" s="1767">
        <v>0</v>
      </c>
      <c r="AF72" s="1767">
        <v>0</v>
      </c>
      <c r="AG72" s="1767">
        <v>0</v>
      </c>
      <c r="AH72" s="1767">
        <v>0</v>
      </c>
      <c r="AI72" s="1767">
        <v>0</v>
      </c>
      <c r="AJ72" s="1767">
        <v>0</v>
      </c>
      <c r="AK72" s="1767">
        <v>0</v>
      </c>
      <c r="AL72" s="1767">
        <v>0</v>
      </c>
      <c r="AM72" s="1767">
        <v>0</v>
      </c>
      <c r="AN72" s="1767">
        <v>0</v>
      </c>
      <c r="AO72" s="1767">
        <v>0</v>
      </c>
      <c r="AP72" s="1767">
        <v>0</v>
      </c>
      <c r="AQ72" s="1767">
        <v>0</v>
      </c>
      <c r="AR72" s="1767">
        <v>0</v>
      </c>
      <c r="AS72" s="1767">
        <v>0</v>
      </c>
      <c r="AT72" s="1767">
        <v>0</v>
      </c>
      <c r="AU72" s="1767">
        <v>0</v>
      </c>
      <c r="AV72" s="1767">
        <v>0</v>
      </c>
      <c r="AW72" s="1767">
        <v>0</v>
      </c>
      <c r="AX72" s="1767">
        <v>0</v>
      </c>
      <c r="AY72" s="1767">
        <v>0</v>
      </c>
      <c r="AZ72" s="1767">
        <v>0</v>
      </c>
      <c r="BA72" s="1767">
        <v>0</v>
      </c>
      <c r="BB72" s="1767">
        <v>0</v>
      </c>
      <c r="BC72" s="1767">
        <v>0</v>
      </c>
      <c r="BD72" s="1767">
        <v>0</v>
      </c>
      <c r="BE72" s="1767">
        <v>0</v>
      </c>
      <c r="BF72" s="1767">
        <v>0</v>
      </c>
      <c r="BG72" s="1767">
        <v>0</v>
      </c>
      <c r="BH72" s="1767">
        <v>0</v>
      </c>
      <c r="BI72" s="1767">
        <v>0</v>
      </c>
      <c r="BJ72" s="1767">
        <v>0</v>
      </c>
      <c r="BK72" s="1767">
        <v>0</v>
      </c>
      <c r="BL72" s="1767">
        <v>0</v>
      </c>
      <c r="BM72" s="1767">
        <v>0</v>
      </c>
      <c r="BN72" s="1767">
        <v>0</v>
      </c>
      <c r="BO72" s="1767">
        <v>0</v>
      </c>
      <c r="BP72" s="1767">
        <v>0</v>
      </c>
      <c r="BQ72" s="1767">
        <v>0</v>
      </c>
      <c r="BR72" s="1767">
        <v>0</v>
      </c>
      <c r="BS72" s="1767">
        <v>0</v>
      </c>
      <c r="BT72" s="1767">
        <v>0</v>
      </c>
      <c r="BU72" s="1767">
        <v>0</v>
      </c>
      <c r="BV72" s="1767">
        <v>0</v>
      </c>
      <c r="BW72" s="1767">
        <v>0</v>
      </c>
      <c r="BX72" s="1767">
        <v>0</v>
      </c>
      <c r="BY72" s="1767">
        <v>0</v>
      </c>
      <c r="BZ72" s="1767">
        <v>0</v>
      </c>
      <c r="CA72" s="1767">
        <v>0</v>
      </c>
      <c r="CB72" s="1767">
        <v>0</v>
      </c>
      <c r="CC72" s="1767">
        <v>0</v>
      </c>
      <c r="CD72" s="1767">
        <v>0</v>
      </c>
      <c r="CE72" s="1767">
        <v>0</v>
      </c>
      <c r="CF72" s="1767">
        <v>0</v>
      </c>
      <c r="CG72" s="1767">
        <v>0</v>
      </c>
      <c r="CH72" s="1767">
        <v>0</v>
      </c>
      <c r="CI72" s="1767">
        <v>0</v>
      </c>
      <c r="CJ72" s="1767">
        <v>0</v>
      </c>
      <c r="CK72" s="1767">
        <v>0</v>
      </c>
      <c r="CL72" s="1767">
        <v>0</v>
      </c>
      <c r="CM72" s="1767">
        <v>0</v>
      </c>
      <c r="CN72" s="1767">
        <v>0</v>
      </c>
      <c r="CO72" s="1767">
        <v>0</v>
      </c>
      <c r="CP72" s="1767">
        <v>0</v>
      </c>
    </row>
    <row r="73" spans="1:94" ht="21" customHeight="1" thickBot="1" x14ac:dyDescent="0.25">
      <c r="A73" s="1849" t="s">
        <v>1288</v>
      </c>
      <c r="B73" s="1846" t="s">
        <v>50</v>
      </c>
      <c r="C73" s="1777" t="s">
        <v>2513</v>
      </c>
      <c r="D73" s="947"/>
      <c r="E73" s="1830" t="s">
        <v>2070</v>
      </c>
      <c r="F73" s="1225"/>
      <c r="G73" s="1742"/>
      <c r="H73" s="1742"/>
      <c r="I73" s="1742"/>
      <c r="J73" s="1742"/>
      <c r="K73" s="1742"/>
      <c r="L73" s="1742"/>
      <c r="M73" s="1742"/>
      <c r="N73" s="1742"/>
      <c r="O73" s="1742"/>
      <c r="P73" s="1742"/>
      <c r="Q73" s="1742"/>
      <c r="R73" s="1742"/>
      <c r="S73" s="1742"/>
      <c r="T73" s="1742"/>
      <c r="U73" s="1742"/>
      <c r="V73" s="1742"/>
      <c r="W73" s="1742"/>
      <c r="X73" s="1742"/>
      <c r="Y73" s="1742"/>
      <c r="Z73" s="1742"/>
      <c r="AA73" s="1742"/>
      <c r="AB73" s="1742"/>
      <c r="AC73" s="1742"/>
      <c r="AD73" s="1742"/>
      <c r="AE73" s="1742"/>
      <c r="AF73" s="1742"/>
      <c r="AG73" s="1742"/>
      <c r="AH73" s="1742"/>
      <c r="AI73" s="1742"/>
      <c r="AJ73" s="1742"/>
      <c r="AK73" s="1742"/>
      <c r="AL73" s="1742"/>
      <c r="AM73" s="1742"/>
      <c r="AN73" s="1742"/>
      <c r="AO73" s="1742"/>
      <c r="AP73" s="1742"/>
      <c r="AQ73" s="1742"/>
      <c r="AR73" s="1742"/>
      <c r="AS73" s="1742"/>
      <c r="AT73" s="1742"/>
      <c r="AU73" s="1742"/>
      <c r="AV73" s="1742"/>
      <c r="AW73" s="1742"/>
      <c r="AX73" s="1742"/>
      <c r="AY73" s="1742"/>
      <c r="AZ73" s="1742"/>
      <c r="BA73" s="1742"/>
      <c r="BB73" s="1742"/>
      <c r="BC73" s="1742"/>
      <c r="BD73" s="1742"/>
      <c r="BE73" s="1742"/>
      <c r="BF73" s="1742"/>
      <c r="BG73" s="1742"/>
      <c r="BH73" s="1742"/>
      <c r="BI73" s="1742"/>
      <c r="BJ73" s="1742"/>
      <c r="BK73" s="1742"/>
      <c r="BL73" s="1742"/>
      <c r="BM73" s="1742"/>
      <c r="BN73" s="1742"/>
      <c r="BO73" s="1742"/>
      <c r="BP73" s="1742"/>
      <c r="BQ73" s="1742"/>
      <c r="BR73" s="1742"/>
      <c r="BS73" s="1742"/>
      <c r="BT73" s="1742"/>
      <c r="BU73" s="1742"/>
      <c r="BV73" s="1742"/>
      <c r="BW73" s="1742"/>
      <c r="BX73" s="1742"/>
      <c r="BY73" s="1742"/>
      <c r="BZ73" s="1742"/>
      <c r="CA73" s="1742"/>
      <c r="CB73" s="1742"/>
      <c r="CC73" s="1742"/>
      <c r="CD73" s="1742"/>
      <c r="CE73" s="1742"/>
      <c r="CF73" s="1742"/>
      <c r="CG73" s="1742"/>
      <c r="CH73" s="1742"/>
      <c r="CI73" s="1742"/>
      <c r="CJ73" s="1742"/>
      <c r="CK73" s="1742"/>
      <c r="CL73" s="1742"/>
      <c r="CM73" s="1742"/>
      <c r="CN73" s="1742"/>
      <c r="CO73" s="1742"/>
      <c r="CP73" s="1742"/>
    </row>
    <row r="74" spans="1:94" ht="15" customHeight="1" x14ac:dyDescent="0.2">
      <c r="A74" s="1847"/>
      <c r="B74" s="1856"/>
      <c r="C74" s="661" t="s">
        <v>2096</v>
      </c>
      <c r="D74" s="936"/>
      <c r="E74" s="1831"/>
      <c r="F74" s="1225"/>
      <c r="G74" s="1767">
        <v>0</v>
      </c>
      <c r="H74" s="1767">
        <v>0</v>
      </c>
      <c r="I74" s="1767">
        <v>0</v>
      </c>
      <c r="J74" s="1767">
        <v>0</v>
      </c>
      <c r="K74" s="1767">
        <v>0</v>
      </c>
      <c r="L74" s="1767">
        <v>0</v>
      </c>
      <c r="M74" s="1767">
        <v>0</v>
      </c>
      <c r="N74" s="1767">
        <v>0</v>
      </c>
      <c r="O74" s="1767">
        <v>0</v>
      </c>
      <c r="P74" s="1767">
        <v>0</v>
      </c>
      <c r="Q74" s="1767">
        <v>0</v>
      </c>
      <c r="R74" s="1767">
        <v>0</v>
      </c>
      <c r="S74" s="1767">
        <v>0</v>
      </c>
      <c r="T74" s="1767">
        <v>0</v>
      </c>
      <c r="U74" s="1767">
        <v>0</v>
      </c>
      <c r="V74" s="1767">
        <v>0</v>
      </c>
      <c r="W74" s="1767">
        <v>0</v>
      </c>
      <c r="X74" s="1767">
        <v>0</v>
      </c>
      <c r="Y74" s="1767">
        <v>0</v>
      </c>
      <c r="Z74" s="1767">
        <v>0</v>
      </c>
      <c r="AA74" s="1767">
        <v>0</v>
      </c>
      <c r="AB74" s="1767">
        <v>0</v>
      </c>
      <c r="AC74" s="1767">
        <v>0</v>
      </c>
      <c r="AD74" s="1767">
        <v>0</v>
      </c>
      <c r="AE74" s="1767">
        <v>0</v>
      </c>
      <c r="AF74" s="1767">
        <v>0</v>
      </c>
      <c r="AG74" s="1767">
        <v>0</v>
      </c>
      <c r="AH74" s="1767">
        <v>0</v>
      </c>
      <c r="AI74" s="1767">
        <v>0</v>
      </c>
      <c r="AJ74" s="1767">
        <v>0</v>
      </c>
      <c r="AK74" s="1767">
        <v>0</v>
      </c>
      <c r="AL74" s="1767">
        <v>0</v>
      </c>
      <c r="AM74" s="1767">
        <v>0</v>
      </c>
      <c r="AN74" s="1767">
        <v>0</v>
      </c>
      <c r="AO74" s="1767">
        <v>0</v>
      </c>
      <c r="AP74" s="1767">
        <v>0</v>
      </c>
      <c r="AQ74" s="1767">
        <v>0</v>
      </c>
      <c r="AR74" s="1767">
        <v>0</v>
      </c>
      <c r="AS74" s="1767">
        <v>0</v>
      </c>
      <c r="AT74" s="1767">
        <v>0</v>
      </c>
      <c r="AU74" s="1767">
        <v>0</v>
      </c>
      <c r="AV74" s="1767">
        <v>0</v>
      </c>
      <c r="AW74" s="1767">
        <v>0</v>
      </c>
      <c r="AX74" s="1767">
        <v>0</v>
      </c>
      <c r="AY74" s="1767">
        <v>0</v>
      </c>
      <c r="AZ74" s="1767">
        <v>0</v>
      </c>
      <c r="BA74" s="1767">
        <v>0</v>
      </c>
      <c r="BB74" s="1767">
        <v>0</v>
      </c>
      <c r="BC74" s="1767">
        <v>0</v>
      </c>
      <c r="BD74" s="1767">
        <v>0</v>
      </c>
      <c r="BE74" s="1767">
        <v>0</v>
      </c>
      <c r="BF74" s="1767">
        <v>0</v>
      </c>
      <c r="BG74" s="1767">
        <v>0</v>
      </c>
      <c r="BH74" s="1767">
        <v>0</v>
      </c>
      <c r="BI74" s="1767">
        <v>0</v>
      </c>
      <c r="BJ74" s="1767">
        <v>0</v>
      </c>
      <c r="BK74" s="1767">
        <v>0</v>
      </c>
      <c r="BL74" s="1767">
        <v>0</v>
      </c>
      <c r="BM74" s="1767">
        <v>0</v>
      </c>
      <c r="BN74" s="1767">
        <v>0</v>
      </c>
      <c r="BO74" s="1767">
        <v>0</v>
      </c>
      <c r="BP74" s="1767">
        <v>0</v>
      </c>
      <c r="BQ74" s="1767">
        <v>0</v>
      </c>
      <c r="BR74" s="1767">
        <v>0</v>
      </c>
      <c r="BS74" s="1767">
        <v>0</v>
      </c>
      <c r="BT74" s="1767">
        <v>0</v>
      </c>
      <c r="BU74" s="1767">
        <v>0</v>
      </c>
      <c r="BV74" s="1767">
        <v>0</v>
      </c>
      <c r="BW74" s="1767">
        <v>0</v>
      </c>
      <c r="BX74" s="1767">
        <v>0</v>
      </c>
      <c r="BY74" s="1767">
        <v>0</v>
      </c>
      <c r="BZ74" s="1767">
        <v>0</v>
      </c>
      <c r="CA74" s="1767">
        <v>0</v>
      </c>
      <c r="CB74" s="1767">
        <v>0</v>
      </c>
      <c r="CC74" s="1767">
        <v>0</v>
      </c>
      <c r="CD74" s="1767">
        <v>0</v>
      </c>
      <c r="CE74" s="1767">
        <v>0</v>
      </c>
      <c r="CF74" s="1767">
        <v>0</v>
      </c>
      <c r="CG74" s="1767">
        <v>0</v>
      </c>
      <c r="CH74" s="1767">
        <v>0</v>
      </c>
      <c r="CI74" s="1767">
        <v>0</v>
      </c>
      <c r="CJ74" s="1767">
        <v>0</v>
      </c>
      <c r="CK74" s="1767">
        <v>0</v>
      </c>
      <c r="CL74" s="1767">
        <v>0</v>
      </c>
      <c r="CM74" s="1767">
        <v>0</v>
      </c>
      <c r="CN74" s="1767">
        <v>0</v>
      </c>
      <c r="CO74" s="1767">
        <v>0</v>
      </c>
      <c r="CP74" s="1767">
        <v>0</v>
      </c>
    </row>
    <row r="75" spans="1:94" ht="15" customHeight="1" x14ac:dyDescent="0.2">
      <c r="A75" s="1847"/>
      <c r="B75" s="1856"/>
      <c r="C75" s="800" t="s">
        <v>538</v>
      </c>
      <c r="D75" s="936"/>
      <c r="E75" s="1831"/>
      <c r="F75" s="1225"/>
      <c r="G75" s="1767">
        <v>0</v>
      </c>
      <c r="H75" s="1767">
        <v>0</v>
      </c>
      <c r="I75" s="1767">
        <v>0</v>
      </c>
      <c r="J75" s="1767">
        <v>0</v>
      </c>
      <c r="K75" s="1767">
        <v>0</v>
      </c>
      <c r="L75" s="1767">
        <v>0</v>
      </c>
      <c r="M75" s="1767">
        <v>0</v>
      </c>
      <c r="N75" s="1767">
        <v>0</v>
      </c>
      <c r="O75" s="1767">
        <v>0</v>
      </c>
      <c r="P75" s="1767">
        <v>0</v>
      </c>
      <c r="Q75" s="1767">
        <v>0</v>
      </c>
      <c r="R75" s="1767">
        <v>0</v>
      </c>
      <c r="S75" s="1767">
        <v>0</v>
      </c>
      <c r="T75" s="1767">
        <v>0</v>
      </c>
      <c r="U75" s="1767">
        <v>0</v>
      </c>
      <c r="V75" s="1767">
        <v>0</v>
      </c>
      <c r="W75" s="1767">
        <v>0</v>
      </c>
      <c r="X75" s="1767">
        <v>0</v>
      </c>
      <c r="Y75" s="1767">
        <v>0</v>
      </c>
      <c r="Z75" s="1767">
        <v>0</v>
      </c>
      <c r="AA75" s="1767">
        <v>0</v>
      </c>
      <c r="AB75" s="1767">
        <v>0</v>
      </c>
      <c r="AC75" s="1767">
        <v>0</v>
      </c>
      <c r="AD75" s="1767">
        <v>0</v>
      </c>
      <c r="AE75" s="1767">
        <v>0</v>
      </c>
      <c r="AF75" s="1767">
        <v>0</v>
      </c>
      <c r="AG75" s="1767">
        <v>0</v>
      </c>
      <c r="AH75" s="1767">
        <v>0</v>
      </c>
      <c r="AI75" s="1767">
        <v>0</v>
      </c>
      <c r="AJ75" s="1767">
        <v>0</v>
      </c>
      <c r="AK75" s="1767">
        <v>0</v>
      </c>
      <c r="AL75" s="1767">
        <v>0</v>
      </c>
      <c r="AM75" s="1767">
        <v>0</v>
      </c>
      <c r="AN75" s="1767">
        <v>0</v>
      </c>
      <c r="AO75" s="1767">
        <v>0</v>
      </c>
      <c r="AP75" s="1767">
        <v>0</v>
      </c>
      <c r="AQ75" s="1767">
        <v>0</v>
      </c>
      <c r="AR75" s="1767">
        <v>0</v>
      </c>
      <c r="AS75" s="1767">
        <v>0</v>
      </c>
      <c r="AT75" s="1767">
        <v>0</v>
      </c>
      <c r="AU75" s="1767">
        <v>0</v>
      </c>
      <c r="AV75" s="1767">
        <v>0</v>
      </c>
      <c r="AW75" s="1767">
        <v>0</v>
      </c>
      <c r="AX75" s="1767">
        <v>0</v>
      </c>
      <c r="AY75" s="1767">
        <v>0</v>
      </c>
      <c r="AZ75" s="1767">
        <v>0</v>
      </c>
      <c r="BA75" s="1767">
        <v>0</v>
      </c>
      <c r="BB75" s="1767">
        <v>0</v>
      </c>
      <c r="BC75" s="1767">
        <v>0</v>
      </c>
      <c r="BD75" s="1767">
        <v>0</v>
      </c>
      <c r="BE75" s="1767">
        <v>0</v>
      </c>
      <c r="BF75" s="1767">
        <v>0</v>
      </c>
      <c r="BG75" s="1767">
        <v>0</v>
      </c>
      <c r="BH75" s="1767">
        <v>0</v>
      </c>
      <c r="BI75" s="1767">
        <v>0</v>
      </c>
      <c r="BJ75" s="1767">
        <v>0</v>
      </c>
      <c r="BK75" s="1767">
        <v>0</v>
      </c>
      <c r="BL75" s="1767">
        <v>0</v>
      </c>
      <c r="BM75" s="1767">
        <v>0</v>
      </c>
      <c r="BN75" s="1767">
        <v>0</v>
      </c>
      <c r="BO75" s="1767">
        <v>0</v>
      </c>
      <c r="BP75" s="1767">
        <v>0</v>
      </c>
      <c r="BQ75" s="1767">
        <v>0</v>
      </c>
      <c r="BR75" s="1767">
        <v>0</v>
      </c>
      <c r="BS75" s="1767">
        <v>0</v>
      </c>
      <c r="BT75" s="1767">
        <v>0</v>
      </c>
      <c r="BU75" s="1767">
        <v>0</v>
      </c>
      <c r="BV75" s="1767">
        <v>0</v>
      </c>
      <c r="BW75" s="1767">
        <v>0</v>
      </c>
      <c r="BX75" s="1767">
        <v>0</v>
      </c>
      <c r="BY75" s="1767">
        <v>0</v>
      </c>
      <c r="BZ75" s="1767">
        <v>0</v>
      </c>
      <c r="CA75" s="1767">
        <v>0</v>
      </c>
      <c r="CB75" s="1767">
        <v>0</v>
      </c>
      <c r="CC75" s="1767">
        <v>0</v>
      </c>
      <c r="CD75" s="1767">
        <v>0</v>
      </c>
      <c r="CE75" s="1767">
        <v>0</v>
      </c>
      <c r="CF75" s="1767">
        <v>0</v>
      </c>
      <c r="CG75" s="1767">
        <v>0</v>
      </c>
      <c r="CH75" s="1767">
        <v>0</v>
      </c>
      <c r="CI75" s="1767">
        <v>0</v>
      </c>
      <c r="CJ75" s="1767">
        <v>0</v>
      </c>
      <c r="CK75" s="1767">
        <v>0</v>
      </c>
      <c r="CL75" s="1767">
        <v>0</v>
      </c>
      <c r="CM75" s="1767">
        <v>0</v>
      </c>
      <c r="CN75" s="1767">
        <v>0</v>
      </c>
      <c r="CO75" s="1767">
        <v>0</v>
      </c>
      <c r="CP75" s="1767">
        <v>0</v>
      </c>
    </row>
    <row r="76" spans="1:94" ht="15" customHeight="1" thickBot="1" x14ac:dyDescent="0.25">
      <c r="A76" s="1848"/>
      <c r="B76" s="1857"/>
      <c r="C76" s="654" t="s">
        <v>539</v>
      </c>
      <c r="D76" s="936"/>
      <c r="E76" s="1832"/>
      <c r="F76" s="1225"/>
      <c r="G76" s="1767">
        <v>0</v>
      </c>
      <c r="H76" s="1767">
        <v>0</v>
      </c>
      <c r="I76" s="1767">
        <v>0</v>
      </c>
      <c r="J76" s="1767">
        <v>0</v>
      </c>
      <c r="K76" s="1767">
        <v>0</v>
      </c>
      <c r="L76" s="1767">
        <v>0</v>
      </c>
      <c r="M76" s="1767">
        <v>0</v>
      </c>
      <c r="N76" s="1767">
        <v>0</v>
      </c>
      <c r="O76" s="1767">
        <v>0</v>
      </c>
      <c r="P76" s="1767">
        <v>0</v>
      </c>
      <c r="Q76" s="1767">
        <v>0</v>
      </c>
      <c r="R76" s="1767">
        <v>0</v>
      </c>
      <c r="S76" s="1767">
        <v>0</v>
      </c>
      <c r="T76" s="1767">
        <v>0</v>
      </c>
      <c r="U76" s="1767">
        <v>0</v>
      </c>
      <c r="V76" s="1767">
        <v>0</v>
      </c>
      <c r="W76" s="1767">
        <v>0</v>
      </c>
      <c r="X76" s="1767">
        <v>0</v>
      </c>
      <c r="Y76" s="1767">
        <v>0</v>
      </c>
      <c r="Z76" s="1767">
        <v>0</v>
      </c>
      <c r="AA76" s="1767">
        <v>0</v>
      </c>
      <c r="AB76" s="1767">
        <v>0</v>
      </c>
      <c r="AC76" s="1767">
        <v>0</v>
      </c>
      <c r="AD76" s="1767">
        <v>0</v>
      </c>
      <c r="AE76" s="1767">
        <v>0</v>
      </c>
      <c r="AF76" s="1767">
        <v>0</v>
      </c>
      <c r="AG76" s="1767">
        <v>0</v>
      </c>
      <c r="AH76" s="1767">
        <v>0</v>
      </c>
      <c r="AI76" s="1767">
        <v>0</v>
      </c>
      <c r="AJ76" s="1767">
        <v>0</v>
      </c>
      <c r="AK76" s="1767">
        <v>0</v>
      </c>
      <c r="AL76" s="1767">
        <v>0</v>
      </c>
      <c r="AM76" s="1767">
        <v>0</v>
      </c>
      <c r="AN76" s="1767">
        <v>0</v>
      </c>
      <c r="AO76" s="1767">
        <v>0</v>
      </c>
      <c r="AP76" s="1767">
        <v>0</v>
      </c>
      <c r="AQ76" s="1767">
        <v>0</v>
      </c>
      <c r="AR76" s="1767">
        <v>0</v>
      </c>
      <c r="AS76" s="1767">
        <v>0</v>
      </c>
      <c r="AT76" s="1767">
        <v>0</v>
      </c>
      <c r="AU76" s="1767">
        <v>0</v>
      </c>
      <c r="AV76" s="1767">
        <v>0</v>
      </c>
      <c r="AW76" s="1767">
        <v>0</v>
      </c>
      <c r="AX76" s="1767">
        <v>0</v>
      </c>
      <c r="AY76" s="1767">
        <v>0</v>
      </c>
      <c r="AZ76" s="1767">
        <v>0</v>
      </c>
      <c r="BA76" s="1767">
        <v>0</v>
      </c>
      <c r="BB76" s="1767">
        <v>0</v>
      </c>
      <c r="BC76" s="1767">
        <v>0</v>
      </c>
      <c r="BD76" s="1767">
        <v>0</v>
      </c>
      <c r="BE76" s="1767">
        <v>0</v>
      </c>
      <c r="BF76" s="1767">
        <v>0</v>
      </c>
      <c r="BG76" s="1767">
        <v>0</v>
      </c>
      <c r="BH76" s="1767">
        <v>0</v>
      </c>
      <c r="BI76" s="1767">
        <v>0</v>
      </c>
      <c r="BJ76" s="1767">
        <v>0</v>
      </c>
      <c r="BK76" s="1767">
        <v>0</v>
      </c>
      <c r="BL76" s="1767">
        <v>0</v>
      </c>
      <c r="BM76" s="1767">
        <v>0</v>
      </c>
      <c r="BN76" s="1767">
        <v>0</v>
      </c>
      <c r="BO76" s="1767">
        <v>0</v>
      </c>
      <c r="BP76" s="1767">
        <v>0</v>
      </c>
      <c r="BQ76" s="1767">
        <v>0</v>
      </c>
      <c r="BR76" s="1767">
        <v>0</v>
      </c>
      <c r="BS76" s="1767">
        <v>0</v>
      </c>
      <c r="BT76" s="1767">
        <v>0</v>
      </c>
      <c r="BU76" s="1767">
        <v>0</v>
      </c>
      <c r="BV76" s="1767">
        <v>0</v>
      </c>
      <c r="BW76" s="1767">
        <v>0</v>
      </c>
      <c r="BX76" s="1767">
        <v>0</v>
      </c>
      <c r="BY76" s="1767">
        <v>0</v>
      </c>
      <c r="BZ76" s="1767">
        <v>0</v>
      </c>
      <c r="CA76" s="1767">
        <v>0</v>
      </c>
      <c r="CB76" s="1767">
        <v>0</v>
      </c>
      <c r="CC76" s="1767">
        <v>0</v>
      </c>
      <c r="CD76" s="1767">
        <v>0</v>
      </c>
      <c r="CE76" s="1767">
        <v>0</v>
      </c>
      <c r="CF76" s="1767">
        <v>0</v>
      </c>
      <c r="CG76" s="1767">
        <v>0</v>
      </c>
      <c r="CH76" s="1767">
        <v>0</v>
      </c>
      <c r="CI76" s="1767">
        <v>0</v>
      </c>
      <c r="CJ76" s="1767">
        <v>0</v>
      </c>
      <c r="CK76" s="1767">
        <v>0</v>
      </c>
      <c r="CL76" s="1767">
        <v>0</v>
      </c>
      <c r="CM76" s="1767">
        <v>0</v>
      </c>
      <c r="CN76" s="1767">
        <v>0</v>
      </c>
      <c r="CO76" s="1767">
        <v>0</v>
      </c>
      <c r="CP76" s="1767">
        <v>0</v>
      </c>
    </row>
    <row r="77" spans="1:94" ht="30" customHeight="1" thickBot="1" x14ac:dyDescent="0.25">
      <c r="A77" s="1849" t="s">
        <v>1289</v>
      </c>
      <c r="B77" s="1846" t="s">
        <v>431</v>
      </c>
      <c r="C77" s="1777" t="s">
        <v>2514</v>
      </c>
      <c r="D77" s="947"/>
      <c r="E77" s="1830" t="s">
        <v>2071</v>
      </c>
      <c r="F77" s="1225"/>
      <c r="G77" s="1742"/>
      <c r="H77" s="1742"/>
      <c r="I77" s="1742"/>
      <c r="J77" s="1742"/>
      <c r="K77" s="1742"/>
      <c r="L77" s="1742"/>
      <c r="M77" s="1742"/>
      <c r="N77" s="1742"/>
      <c r="O77" s="1742"/>
      <c r="P77" s="1742"/>
      <c r="Q77" s="1742"/>
      <c r="R77" s="1742"/>
      <c r="S77" s="1742"/>
      <c r="T77" s="1742"/>
      <c r="U77" s="1742"/>
      <c r="V77" s="1742"/>
      <c r="W77" s="1742"/>
      <c r="X77" s="1742"/>
      <c r="Y77" s="1742"/>
      <c r="Z77" s="1742"/>
      <c r="AA77" s="1742"/>
      <c r="AB77" s="1742"/>
      <c r="AC77" s="1742"/>
      <c r="AD77" s="1742"/>
      <c r="AE77" s="1742"/>
      <c r="AF77" s="1742"/>
      <c r="AG77" s="1742"/>
      <c r="AH77" s="1742"/>
      <c r="AI77" s="1742"/>
      <c r="AJ77" s="1742"/>
      <c r="AK77" s="1742"/>
      <c r="AL77" s="1742"/>
      <c r="AM77" s="1742"/>
      <c r="AN77" s="1742"/>
      <c r="AO77" s="1742"/>
      <c r="AP77" s="1742"/>
      <c r="AQ77" s="1742"/>
      <c r="AR77" s="1742"/>
      <c r="AS77" s="1742"/>
      <c r="AT77" s="1742"/>
      <c r="AU77" s="1742"/>
      <c r="AV77" s="1742"/>
      <c r="AW77" s="1742"/>
      <c r="AX77" s="1742"/>
      <c r="AY77" s="1742"/>
      <c r="AZ77" s="1742"/>
      <c r="BA77" s="1742"/>
      <c r="BB77" s="1742"/>
      <c r="BC77" s="1742"/>
      <c r="BD77" s="1742"/>
      <c r="BE77" s="1742"/>
      <c r="BF77" s="1742"/>
      <c r="BG77" s="1742"/>
      <c r="BH77" s="1742"/>
      <c r="BI77" s="1742"/>
      <c r="BJ77" s="1742"/>
      <c r="BK77" s="1742"/>
      <c r="BL77" s="1742"/>
      <c r="BM77" s="1742"/>
      <c r="BN77" s="1742"/>
      <c r="BO77" s="1742"/>
      <c r="BP77" s="1742"/>
      <c r="BQ77" s="1742"/>
      <c r="BR77" s="1742"/>
      <c r="BS77" s="1742"/>
      <c r="BT77" s="1742"/>
      <c r="BU77" s="1742"/>
      <c r="BV77" s="1742"/>
      <c r="BW77" s="1742"/>
      <c r="BX77" s="1742"/>
      <c r="BY77" s="1742"/>
      <c r="BZ77" s="1742"/>
      <c r="CA77" s="1742"/>
      <c r="CB77" s="1742"/>
      <c r="CC77" s="1742"/>
      <c r="CD77" s="1742"/>
      <c r="CE77" s="1742"/>
      <c r="CF77" s="1742"/>
      <c r="CG77" s="1742"/>
      <c r="CH77" s="1742"/>
      <c r="CI77" s="1742"/>
      <c r="CJ77" s="1742"/>
      <c r="CK77" s="1742"/>
      <c r="CL77" s="1742"/>
      <c r="CM77" s="1742"/>
      <c r="CN77" s="1742"/>
      <c r="CO77" s="1742"/>
      <c r="CP77" s="1742"/>
    </row>
    <row r="78" spans="1:94" ht="15" customHeight="1" x14ac:dyDescent="0.2">
      <c r="A78" s="1847"/>
      <c r="B78" s="1856"/>
      <c r="C78" s="652" t="s">
        <v>2097</v>
      </c>
      <c r="D78" s="936"/>
      <c r="E78" s="1831"/>
      <c r="F78" s="1225"/>
      <c r="G78" s="1767">
        <v>0</v>
      </c>
      <c r="H78" s="1767">
        <v>0</v>
      </c>
      <c r="I78" s="1767">
        <v>0</v>
      </c>
      <c r="J78" s="1767">
        <v>0</v>
      </c>
      <c r="K78" s="1767">
        <v>0</v>
      </c>
      <c r="L78" s="1767">
        <v>0</v>
      </c>
      <c r="M78" s="1767">
        <v>0</v>
      </c>
      <c r="N78" s="1767">
        <v>0</v>
      </c>
      <c r="O78" s="1767">
        <v>0</v>
      </c>
      <c r="P78" s="1767">
        <v>0</v>
      </c>
      <c r="Q78" s="1767">
        <v>0</v>
      </c>
      <c r="R78" s="1767">
        <v>0</v>
      </c>
      <c r="S78" s="1767">
        <v>0</v>
      </c>
      <c r="T78" s="1767">
        <v>0</v>
      </c>
      <c r="U78" s="1767">
        <v>0</v>
      </c>
      <c r="V78" s="1767">
        <v>0</v>
      </c>
      <c r="W78" s="1767">
        <v>0</v>
      </c>
      <c r="X78" s="1767">
        <v>0</v>
      </c>
      <c r="Y78" s="1767">
        <v>0</v>
      </c>
      <c r="Z78" s="1767">
        <v>0</v>
      </c>
      <c r="AA78" s="1767">
        <v>0</v>
      </c>
      <c r="AB78" s="1767">
        <v>0</v>
      </c>
      <c r="AC78" s="1767">
        <v>0</v>
      </c>
      <c r="AD78" s="1767">
        <v>0</v>
      </c>
      <c r="AE78" s="1767">
        <v>0</v>
      </c>
      <c r="AF78" s="1767">
        <v>0</v>
      </c>
      <c r="AG78" s="1767">
        <v>0</v>
      </c>
      <c r="AH78" s="1767">
        <v>0</v>
      </c>
      <c r="AI78" s="1767">
        <v>0</v>
      </c>
      <c r="AJ78" s="1767">
        <v>0</v>
      </c>
      <c r="AK78" s="1767">
        <v>0</v>
      </c>
      <c r="AL78" s="1767">
        <v>0</v>
      </c>
      <c r="AM78" s="1767">
        <v>0</v>
      </c>
      <c r="AN78" s="1767">
        <v>0</v>
      </c>
      <c r="AO78" s="1767">
        <v>0</v>
      </c>
      <c r="AP78" s="1767">
        <v>0</v>
      </c>
      <c r="AQ78" s="1767">
        <v>0</v>
      </c>
      <c r="AR78" s="1767">
        <v>0</v>
      </c>
      <c r="AS78" s="1767">
        <v>0</v>
      </c>
      <c r="AT78" s="1767">
        <v>0</v>
      </c>
      <c r="AU78" s="1767">
        <v>0</v>
      </c>
      <c r="AV78" s="1767">
        <v>0</v>
      </c>
      <c r="AW78" s="1767">
        <v>0</v>
      </c>
      <c r="AX78" s="1767">
        <v>0</v>
      </c>
      <c r="AY78" s="1767">
        <v>0</v>
      </c>
      <c r="AZ78" s="1767">
        <v>0</v>
      </c>
      <c r="BA78" s="1767">
        <v>0</v>
      </c>
      <c r="BB78" s="1767">
        <v>0</v>
      </c>
      <c r="BC78" s="1767">
        <v>0</v>
      </c>
      <c r="BD78" s="1767">
        <v>0</v>
      </c>
      <c r="BE78" s="1767">
        <v>0</v>
      </c>
      <c r="BF78" s="1767">
        <v>0</v>
      </c>
      <c r="BG78" s="1767">
        <v>0</v>
      </c>
      <c r="BH78" s="1767">
        <v>0</v>
      </c>
      <c r="BI78" s="1767">
        <v>0</v>
      </c>
      <c r="BJ78" s="1767">
        <v>0</v>
      </c>
      <c r="BK78" s="1767">
        <v>0</v>
      </c>
      <c r="BL78" s="1767">
        <v>0</v>
      </c>
      <c r="BM78" s="1767">
        <v>0</v>
      </c>
      <c r="BN78" s="1767">
        <v>0</v>
      </c>
      <c r="BO78" s="1767">
        <v>0</v>
      </c>
      <c r="BP78" s="1767">
        <v>0</v>
      </c>
      <c r="BQ78" s="1767">
        <v>0</v>
      </c>
      <c r="BR78" s="1767">
        <v>0</v>
      </c>
      <c r="BS78" s="1767">
        <v>0</v>
      </c>
      <c r="BT78" s="1767">
        <v>0</v>
      </c>
      <c r="BU78" s="1767">
        <v>0</v>
      </c>
      <c r="BV78" s="1767">
        <v>0</v>
      </c>
      <c r="BW78" s="1767">
        <v>0</v>
      </c>
      <c r="BX78" s="1767">
        <v>0</v>
      </c>
      <c r="BY78" s="1767">
        <v>0</v>
      </c>
      <c r="BZ78" s="1767">
        <v>0</v>
      </c>
      <c r="CA78" s="1767">
        <v>0</v>
      </c>
      <c r="CB78" s="1767">
        <v>0</v>
      </c>
      <c r="CC78" s="1767">
        <v>0</v>
      </c>
      <c r="CD78" s="1767">
        <v>0</v>
      </c>
      <c r="CE78" s="1767">
        <v>0</v>
      </c>
      <c r="CF78" s="1767">
        <v>0</v>
      </c>
      <c r="CG78" s="1767">
        <v>0</v>
      </c>
      <c r="CH78" s="1767">
        <v>0</v>
      </c>
      <c r="CI78" s="1767">
        <v>0</v>
      </c>
      <c r="CJ78" s="1767">
        <v>0</v>
      </c>
      <c r="CK78" s="1767">
        <v>0</v>
      </c>
      <c r="CL78" s="1767">
        <v>0</v>
      </c>
      <c r="CM78" s="1767">
        <v>0</v>
      </c>
      <c r="CN78" s="1767">
        <v>0</v>
      </c>
      <c r="CO78" s="1767">
        <v>0</v>
      </c>
      <c r="CP78" s="1767">
        <v>0</v>
      </c>
    </row>
    <row r="79" spans="1:94" ht="15" customHeight="1" x14ac:dyDescent="0.2">
      <c r="A79" s="1847"/>
      <c r="B79" s="1856"/>
      <c r="C79" s="653" t="s">
        <v>531</v>
      </c>
      <c r="D79" s="936"/>
      <c r="E79" s="1831"/>
      <c r="F79" s="1225"/>
      <c r="G79" s="1767">
        <v>0</v>
      </c>
      <c r="H79" s="1767">
        <v>0</v>
      </c>
      <c r="I79" s="1767">
        <v>0</v>
      </c>
      <c r="J79" s="1767">
        <v>0</v>
      </c>
      <c r="K79" s="1767">
        <v>0</v>
      </c>
      <c r="L79" s="1767">
        <v>0</v>
      </c>
      <c r="M79" s="1767">
        <v>0</v>
      </c>
      <c r="N79" s="1767">
        <v>0</v>
      </c>
      <c r="O79" s="1767">
        <v>0</v>
      </c>
      <c r="P79" s="1767">
        <v>0</v>
      </c>
      <c r="Q79" s="1767">
        <v>0</v>
      </c>
      <c r="R79" s="1767">
        <v>0</v>
      </c>
      <c r="S79" s="1767">
        <v>0</v>
      </c>
      <c r="T79" s="1767">
        <v>0</v>
      </c>
      <c r="U79" s="1767">
        <v>0</v>
      </c>
      <c r="V79" s="1767">
        <v>0</v>
      </c>
      <c r="W79" s="1767">
        <v>0</v>
      </c>
      <c r="X79" s="1767">
        <v>0</v>
      </c>
      <c r="Y79" s="1767">
        <v>0</v>
      </c>
      <c r="Z79" s="1767">
        <v>0</v>
      </c>
      <c r="AA79" s="1767">
        <v>0</v>
      </c>
      <c r="AB79" s="1767">
        <v>0</v>
      </c>
      <c r="AC79" s="1767">
        <v>0</v>
      </c>
      <c r="AD79" s="1767">
        <v>0</v>
      </c>
      <c r="AE79" s="1767">
        <v>0</v>
      </c>
      <c r="AF79" s="1767">
        <v>0</v>
      </c>
      <c r="AG79" s="1767">
        <v>0</v>
      </c>
      <c r="AH79" s="1767">
        <v>0</v>
      </c>
      <c r="AI79" s="1767">
        <v>0</v>
      </c>
      <c r="AJ79" s="1767">
        <v>0</v>
      </c>
      <c r="AK79" s="1767">
        <v>0</v>
      </c>
      <c r="AL79" s="1767">
        <v>0</v>
      </c>
      <c r="AM79" s="1767">
        <v>0</v>
      </c>
      <c r="AN79" s="1767">
        <v>0</v>
      </c>
      <c r="AO79" s="1767">
        <v>0</v>
      </c>
      <c r="AP79" s="1767">
        <v>0</v>
      </c>
      <c r="AQ79" s="1767">
        <v>0</v>
      </c>
      <c r="AR79" s="1767">
        <v>0</v>
      </c>
      <c r="AS79" s="1767">
        <v>0</v>
      </c>
      <c r="AT79" s="1767">
        <v>0</v>
      </c>
      <c r="AU79" s="1767">
        <v>0</v>
      </c>
      <c r="AV79" s="1767">
        <v>0</v>
      </c>
      <c r="AW79" s="1767">
        <v>0</v>
      </c>
      <c r="AX79" s="1767">
        <v>0</v>
      </c>
      <c r="AY79" s="1767">
        <v>0</v>
      </c>
      <c r="AZ79" s="1767">
        <v>0</v>
      </c>
      <c r="BA79" s="1767">
        <v>0</v>
      </c>
      <c r="BB79" s="1767">
        <v>0</v>
      </c>
      <c r="BC79" s="1767">
        <v>0</v>
      </c>
      <c r="BD79" s="1767">
        <v>0</v>
      </c>
      <c r="BE79" s="1767">
        <v>0</v>
      </c>
      <c r="BF79" s="1767">
        <v>0</v>
      </c>
      <c r="BG79" s="1767">
        <v>0</v>
      </c>
      <c r="BH79" s="1767">
        <v>0</v>
      </c>
      <c r="BI79" s="1767">
        <v>0</v>
      </c>
      <c r="BJ79" s="1767">
        <v>0</v>
      </c>
      <c r="BK79" s="1767">
        <v>0</v>
      </c>
      <c r="BL79" s="1767">
        <v>0</v>
      </c>
      <c r="BM79" s="1767">
        <v>0</v>
      </c>
      <c r="BN79" s="1767">
        <v>0</v>
      </c>
      <c r="BO79" s="1767">
        <v>0</v>
      </c>
      <c r="BP79" s="1767">
        <v>0</v>
      </c>
      <c r="BQ79" s="1767">
        <v>0</v>
      </c>
      <c r="BR79" s="1767">
        <v>0</v>
      </c>
      <c r="BS79" s="1767">
        <v>0</v>
      </c>
      <c r="BT79" s="1767">
        <v>0</v>
      </c>
      <c r="BU79" s="1767">
        <v>0</v>
      </c>
      <c r="BV79" s="1767">
        <v>0</v>
      </c>
      <c r="BW79" s="1767">
        <v>0</v>
      </c>
      <c r="BX79" s="1767">
        <v>0</v>
      </c>
      <c r="BY79" s="1767">
        <v>0</v>
      </c>
      <c r="BZ79" s="1767">
        <v>0</v>
      </c>
      <c r="CA79" s="1767">
        <v>0</v>
      </c>
      <c r="CB79" s="1767">
        <v>0</v>
      </c>
      <c r="CC79" s="1767">
        <v>0</v>
      </c>
      <c r="CD79" s="1767">
        <v>0</v>
      </c>
      <c r="CE79" s="1767">
        <v>0</v>
      </c>
      <c r="CF79" s="1767">
        <v>0</v>
      </c>
      <c r="CG79" s="1767">
        <v>0</v>
      </c>
      <c r="CH79" s="1767">
        <v>0</v>
      </c>
      <c r="CI79" s="1767">
        <v>0</v>
      </c>
      <c r="CJ79" s="1767">
        <v>0</v>
      </c>
      <c r="CK79" s="1767">
        <v>0</v>
      </c>
      <c r="CL79" s="1767">
        <v>0</v>
      </c>
      <c r="CM79" s="1767">
        <v>0</v>
      </c>
      <c r="CN79" s="1767">
        <v>0</v>
      </c>
      <c r="CO79" s="1767">
        <v>0</v>
      </c>
      <c r="CP79" s="1767">
        <v>0</v>
      </c>
    </row>
    <row r="80" spans="1:94" ht="15" customHeight="1" x14ac:dyDescent="0.2">
      <c r="A80" s="1847"/>
      <c r="B80" s="1856"/>
      <c r="C80" s="653" t="s">
        <v>2047</v>
      </c>
      <c r="D80" s="936"/>
      <c r="E80" s="1831"/>
      <c r="F80" s="1225"/>
      <c r="G80" s="1767">
        <v>0</v>
      </c>
      <c r="H80" s="1767">
        <v>0</v>
      </c>
      <c r="I80" s="1767">
        <v>0</v>
      </c>
      <c r="J80" s="1767">
        <v>0</v>
      </c>
      <c r="K80" s="1767">
        <v>0</v>
      </c>
      <c r="L80" s="1767">
        <v>0</v>
      </c>
      <c r="M80" s="1767">
        <v>0</v>
      </c>
      <c r="N80" s="1767">
        <v>0</v>
      </c>
      <c r="O80" s="1767">
        <v>0</v>
      </c>
      <c r="P80" s="1767">
        <v>0</v>
      </c>
      <c r="Q80" s="1767">
        <v>0</v>
      </c>
      <c r="R80" s="1767">
        <v>0</v>
      </c>
      <c r="S80" s="1767">
        <v>0</v>
      </c>
      <c r="T80" s="1767">
        <v>0</v>
      </c>
      <c r="U80" s="1767">
        <v>0</v>
      </c>
      <c r="V80" s="1767">
        <v>0</v>
      </c>
      <c r="W80" s="1767">
        <v>0</v>
      </c>
      <c r="X80" s="1767">
        <v>0</v>
      </c>
      <c r="Y80" s="1767">
        <v>0</v>
      </c>
      <c r="Z80" s="1767">
        <v>0</v>
      </c>
      <c r="AA80" s="1767">
        <v>0</v>
      </c>
      <c r="AB80" s="1767">
        <v>0</v>
      </c>
      <c r="AC80" s="1767">
        <v>0</v>
      </c>
      <c r="AD80" s="1767">
        <v>0</v>
      </c>
      <c r="AE80" s="1767">
        <v>0</v>
      </c>
      <c r="AF80" s="1767">
        <v>0</v>
      </c>
      <c r="AG80" s="1767">
        <v>0</v>
      </c>
      <c r="AH80" s="1767">
        <v>0</v>
      </c>
      <c r="AI80" s="1767">
        <v>0</v>
      </c>
      <c r="AJ80" s="1767">
        <v>0</v>
      </c>
      <c r="AK80" s="1767">
        <v>0</v>
      </c>
      <c r="AL80" s="1767">
        <v>0</v>
      </c>
      <c r="AM80" s="1767">
        <v>0</v>
      </c>
      <c r="AN80" s="1767">
        <v>0</v>
      </c>
      <c r="AO80" s="1767">
        <v>0</v>
      </c>
      <c r="AP80" s="1767">
        <v>0</v>
      </c>
      <c r="AQ80" s="1767">
        <v>0</v>
      </c>
      <c r="AR80" s="1767">
        <v>0</v>
      </c>
      <c r="AS80" s="1767">
        <v>0</v>
      </c>
      <c r="AT80" s="1767">
        <v>0</v>
      </c>
      <c r="AU80" s="1767">
        <v>0</v>
      </c>
      <c r="AV80" s="1767">
        <v>0</v>
      </c>
      <c r="AW80" s="1767">
        <v>0</v>
      </c>
      <c r="AX80" s="1767">
        <v>0</v>
      </c>
      <c r="AY80" s="1767">
        <v>0</v>
      </c>
      <c r="AZ80" s="1767">
        <v>0</v>
      </c>
      <c r="BA80" s="1767">
        <v>0</v>
      </c>
      <c r="BB80" s="1767">
        <v>0</v>
      </c>
      <c r="BC80" s="1767">
        <v>0</v>
      </c>
      <c r="BD80" s="1767">
        <v>0</v>
      </c>
      <c r="BE80" s="1767">
        <v>0</v>
      </c>
      <c r="BF80" s="1767">
        <v>0</v>
      </c>
      <c r="BG80" s="1767">
        <v>0</v>
      </c>
      <c r="BH80" s="1767">
        <v>0</v>
      </c>
      <c r="BI80" s="1767">
        <v>0</v>
      </c>
      <c r="BJ80" s="1767">
        <v>0</v>
      </c>
      <c r="BK80" s="1767">
        <v>0</v>
      </c>
      <c r="BL80" s="1767">
        <v>0</v>
      </c>
      <c r="BM80" s="1767">
        <v>0</v>
      </c>
      <c r="BN80" s="1767">
        <v>0</v>
      </c>
      <c r="BO80" s="1767">
        <v>0</v>
      </c>
      <c r="BP80" s="1767">
        <v>0</v>
      </c>
      <c r="BQ80" s="1767">
        <v>0</v>
      </c>
      <c r="BR80" s="1767">
        <v>0</v>
      </c>
      <c r="BS80" s="1767">
        <v>0</v>
      </c>
      <c r="BT80" s="1767">
        <v>0</v>
      </c>
      <c r="BU80" s="1767">
        <v>0</v>
      </c>
      <c r="BV80" s="1767">
        <v>0</v>
      </c>
      <c r="BW80" s="1767">
        <v>0</v>
      </c>
      <c r="BX80" s="1767">
        <v>0</v>
      </c>
      <c r="BY80" s="1767">
        <v>0</v>
      </c>
      <c r="BZ80" s="1767">
        <v>0</v>
      </c>
      <c r="CA80" s="1767">
        <v>0</v>
      </c>
      <c r="CB80" s="1767">
        <v>0</v>
      </c>
      <c r="CC80" s="1767">
        <v>0</v>
      </c>
      <c r="CD80" s="1767">
        <v>0</v>
      </c>
      <c r="CE80" s="1767">
        <v>0</v>
      </c>
      <c r="CF80" s="1767">
        <v>0</v>
      </c>
      <c r="CG80" s="1767">
        <v>0</v>
      </c>
      <c r="CH80" s="1767">
        <v>0</v>
      </c>
      <c r="CI80" s="1767">
        <v>0</v>
      </c>
      <c r="CJ80" s="1767">
        <v>0</v>
      </c>
      <c r="CK80" s="1767">
        <v>0</v>
      </c>
      <c r="CL80" s="1767">
        <v>0</v>
      </c>
      <c r="CM80" s="1767">
        <v>0</v>
      </c>
      <c r="CN80" s="1767">
        <v>0</v>
      </c>
      <c r="CO80" s="1767">
        <v>0</v>
      </c>
      <c r="CP80" s="1767">
        <v>0</v>
      </c>
    </row>
    <row r="81" spans="1:94" ht="15" customHeight="1" x14ac:dyDescent="0.2">
      <c r="A81" s="1847"/>
      <c r="B81" s="1856"/>
      <c r="C81" s="1472" t="s">
        <v>2098</v>
      </c>
      <c r="D81" s="958"/>
      <c r="E81" s="1831"/>
      <c r="F81" s="1225"/>
      <c r="G81" s="1767">
        <v>0</v>
      </c>
      <c r="H81" s="1767">
        <v>0</v>
      </c>
      <c r="I81" s="1767">
        <v>0</v>
      </c>
      <c r="J81" s="1767">
        <v>0</v>
      </c>
      <c r="K81" s="1767">
        <v>0</v>
      </c>
      <c r="L81" s="1767">
        <v>0</v>
      </c>
      <c r="M81" s="1767">
        <v>0</v>
      </c>
      <c r="N81" s="1767">
        <v>0</v>
      </c>
      <c r="O81" s="1767">
        <v>0</v>
      </c>
      <c r="P81" s="1767">
        <v>0</v>
      </c>
      <c r="Q81" s="1767">
        <v>0</v>
      </c>
      <c r="R81" s="1767">
        <v>0</v>
      </c>
      <c r="S81" s="1767">
        <v>0</v>
      </c>
      <c r="T81" s="1767">
        <v>0</v>
      </c>
      <c r="U81" s="1767">
        <v>0</v>
      </c>
      <c r="V81" s="1767">
        <v>0</v>
      </c>
      <c r="W81" s="1767">
        <v>0</v>
      </c>
      <c r="X81" s="1767">
        <v>0</v>
      </c>
      <c r="Y81" s="1767">
        <v>0</v>
      </c>
      <c r="Z81" s="1767">
        <v>0</v>
      </c>
      <c r="AA81" s="1767">
        <v>0</v>
      </c>
      <c r="AB81" s="1767">
        <v>0</v>
      </c>
      <c r="AC81" s="1767">
        <v>0</v>
      </c>
      <c r="AD81" s="1767">
        <v>0</v>
      </c>
      <c r="AE81" s="1767">
        <v>0</v>
      </c>
      <c r="AF81" s="1767">
        <v>0</v>
      </c>
      <c r="AG81" s="1767">
        <v>0</v>
      </c>
      <c r="AH81" s="1767">
        <v>0</v>
      </c>
      <c r="AI81" s="1767">
        <v>0</v>
      </c>
      <c r="AJ81" s="1767">
        <v>0</v>
      </c>
      <c r="AK81" s="1767">
        <v>0</v>
      </c>
      <c r="AL81" s="1767">
        <v>0</v>
      </c>
      <c r="AM81" s="1767">
        <v>0</v>
      </c>
      <c r="AN81" s="1767">
        <v>0</v>
      </c>
      <c r="AO81" s="1767">
        <v>0</v>
      </c>
      <c r="AP81" s="1767">
        <v>0</v>
      </c>
      <c r="AQ81" s="1767">
        <v>0</v>
      </c>
      <c r="AR81" s="1767">
        <v>0</v>
      </c>
      <c r="AS81" s="1767">
        <v>0</v>
      </c>
      <c r="AT81" s="1767">
        <v>0</v>
      </c>
      <c r="AU81" s="1767">
        <v>0</v>
      </c>
      <c r="AV81" s="1767">
        <v>0</v>
      </c>
      <c r="AW81" s="1767">
        <v>0</v>
      </c>
      <c r="AX81" s="1767">
        <v>0</v>
      </c>
      <c r="AY81" s="1767">
        <v>0</v>
      </c>
      <c r="AZ81" s="1767">
        <v>0</v>
      </c>
      <c r="BA81" s="1767">
        <v>0</v>
      </c>
      <c r="BB81" s="1767">
        <v>0</v>
      </c>
      <c r="BC81" s="1767">
        <v>0</v>
      </c>
      <c r="BD81" s="1767">
        <v>0</v>
      </c>
      <c r="BE81" s="1767">
        <v>0</v>
      </c>
      <c r="BF81" s="1767">
        <v>0</v>
      </c>
      <c r="BG81" s="1767">
        <v>0</v>
      </c>
      <c r="BH81" s="1767">
        <v>0</v>
      </c>
      <c r="BI81" s="1767">
        <v>0</v>
      </c>
      <c r="BJ81" s="1767">
        <v>0</v>
      </c>
      <c r="BK81" s="1767">
        <v>0</v>
      </c>
      <c r="BL81" s="1767">
        <v>0</v>
      </c>
      <c r="BM81" s="1767">
        <v>0</v>
      </c>
      <c r="BN81" s="1767">
        <v>0</v>
      </c>
      <c r="BO81" s="1767">
        <v>0</v>
      </c>
      <c r="BP81" s="1767">
        <v>0</v>
      </c>
      <c r="BQ81" s="1767">
        <v>0</v>
      </c>
      <c r="BR81" s="1767">
        <v>0</v>
      </c>
      <c r="BS81" s="1767">
        <v>0</v>
      </c>
      <c r="BT81" s="1767">
        <v>0</v>
      </c>
      <c r="BU81" s="1767">
        <v>0</v>
      </c>
      <c r="BV81" s="1767">
        <v>0</v>
      </c>
      <c r="BW81" s="1767">
        <v>0</v>
      </c>
      <c r="BX81" s="1767">
        <v>0</v>
      </c>
      <c r="BY81" s="1767">
        <v>0</v>
      </c>
      <c r="BZ81" s="1767">
        <v>0</v>
      </c>
      <c r="CA81" s="1767">
        <v>0</v>
      </c>
      <c r="CB81" s="1767">
        <v>0</v>
      </c>
      <c r="CC81" s="1767">
        <v>0</v>
      </c>
      <c r="CD81" s="1767">
        <v>0</v>
      </c>
      <c r="CE81" s="1767">
        <v>0</v>
      </c>
      <c r="CF81" s="1767">
        <v>0</v>
      </c>
      <c r="CG81" s="1767">
        <v>0</v>
      </c>
      <c r="CH81" s="1767">
        <v>0</v>
      </c>
      <c r="CI81" s="1767">
        <v>0</v>
      </c>
      <c r="CJ81" s="1767">
        <v>0</v>
      </c>
      <c r="CK81" s="1767">
        <v>0</v>
      </c>
      <c r="CL81" s="1767">
        <v>0</v>
      </c>
      <c r="CM81" s="1767">
        <v>0</v>
      </c>
      <c r="CN81" s="1767">
        <v>0</v>
      </c>
      <c r="CO81" s="1767">
        <v>0</v>
      </c>
      <c r="CP81" s="1767">
        <v>0</v>
      </c>
    </row>
    <row r="82" spans="1:94" ht="15" customHeight="1" x14ac:dyDescent="0.2">
      <c r="A82" s="1847"/>
      <c r="B82" s="1856"/>
      <c r="C82" s="1472" t="s">
        <v>2048</v>
      </c>
      <c r="D82" s="958"/>
      <c r="E82" s="1831"/>
      <c r="F82" s="1225"/>
      <c r="G82" s="1767">
        <v>0</v>
      </c>
      <c r="H82" s="1767">
        <v>0</v>
      </c>
      <c r="I82" s="1767">
        <v>0</v>
      </c>
      <c r="J82" s="1767">
        <v>0</v>
      </c>
      <c r="K82" s="1767">
        <v>0</v>
      </c>
      <c r="L82" s="1767">
        <v>0</v>
      </c>
      <c r="M82" s="1767">
        <v>0</v>
      </c>
      <c r="N82" s="1767">
        <v>0</v>
      </c>
      <c r="O82" s="1767">
        <v>0</v>
      </c>
      <c r="P82" s="1767">
        <v>0</v>
      </c>
      <c r="Q82" s="1767">
        <v>0</v>
      </c>
      <c r="R82" s="1767">
        <v>0</v>
      </c>
      <c r="S82" s="1767">
        <v>0</v>
      </c>
      <c r="T82" s="1767">
        <v>0</v>
      </c>
      <c r="U82" s="1767">
        <v>0</v>
      </c>
      <c r="V82" s="1767">
        <v>0</v>
      </c>
      <c r="W82" s="1767">
        <v>0</v>
      </c>
      <c r="X82" s="1767">
        <v>0</v>
      </c>
      <c r="Y82" s="1767">
        <v>0</v>
      </c>
      <c r="Z82" s="1767">
        <v>0</v>
      </c>
      <c r="AA82" s="1767">
        <v>0</v>
      </c>
      <c r="AB82" s="1767">
        <v>0</v>
      </c>
      <c r="AC82" s="1767">
        <v>0</v>
      </c>
      <c r="AD82" s="1767">
        <v>0</v>
      </c>
      <c r="AE82" s="1767">
        <v>0</v>
      </c>
      <c r="AF82" s="1767">
        <v>0</v>
      </c>
      <c r="AG82" s="1767">
        <v>0</v>
      </c>
      <c r="AH82" s="1767">
        <v>0</v>
      </c>
      <c r="AI82" s="1767">
        <v>0</v>
      </c>
      <c r="AJ82" s="1767">
        <v>0</v>
      </c>
      <c r="AK82" s="1767">
        <v>0</v>
      </c>
      <c r="AL82" s="1767">
        <v>0</v>
      </c>
      <c r="AM82" s="1767">
        <v>0</v>
      </c>
      <c r="AN82" s="1767">
        <v>0</v>
      </c>
      <c r="AO82" s="1767">
        <v>0</v>
      </c>
      <c r="AP82" s="1767">
        <v>0</v>
      </c>
      <c r="AQ82" s="1767">
        <v>0</v>
      </c>
      <c r="AR82" s="1767">
        <v>0</v>
      </c>
      <c r="AS82" s="1767">
        <v>0</v>
      </c>
      <c r="AT82" s="1767">
        <v>0</v>
      </c>
      <c r="AU82" s="1767">
        <v>0</v>
      </c>
      <c r="AV82" s="1767">
        <v>0</v>
      </c>
      <c r="AW82" s="1767">
        <v>0</v>
      </c>
      <c r="AX82" s="1767">
        <v>0</v>
      </c>
      <c r="AY82" s="1767">
        <v>0</v>
      </c>
      <c r="AZ82" s="1767">
        <v>0</v>
      </c>
      <c r="BA82" s="1767">
        <v>0</v>
      </c>
      <c r="BB82" s="1767">
        <v>0</v>
      </c>
      <c r="BC82" s="1767">
        <v>0</v>
      </c>
      <c r="BD82" s="1767">
        <v>0</v>
      </c>
      <c r="BE82" s="1767">
        <v>0</v>
      </c>
      <c r="BF82" s="1767">
        <v>0</v>
      </c>
      <c r="BG82" s="1767">
        <v>0</v>
      </c>
      <c r="BH82" s="1767">
        <v>0</v>
      </c>
      <c r="BI82" s="1767">
        <v>0</v>
      </c>
      <c r="BJ82" s="1767">
        <v>0</v>
      </c>
      <c r="BK82" s="1767">
        <v>0</v>
      </c>
      <c r="BL82" s="1767">
        <v>0</v>
      </c>
      <c r="BM82" s="1767">
        <v>0</v>
      </c>
      <c r="BN82" s="1767">
        <v>0</v>
      </c>
      <c r="BO82" s="1767">
        <v>0</v>
      </c>
      <c r="BP82" s="1767">
        <v>0</v>
      </c>
      <c r="BQ82" s="1767">
        <v>0</v>
      </c>
      <c r="BR82" s="1767">
        <v>0</v>
      </c>
      <c r="BS82" s="1767">
        <v>0</v>
      </c>
      <c r="BT82" s="1767">
        <v>0</v>
      </c>
      <c r="BU82" s="1767">
        <v>0</v>
      </c>
      <c r="BV82" s="1767">
        <v>0</v>
      </c>
      <c r="BW82" s="1767">
        <v>0</v>
      </c>
      <c r="BX82" s="1767">
        <v>0</v>
      </c>
      <c r="BY82" s="1767">
        <v>0</v>
      </c>
      <c r="BZ82" s="1767">
        <v>0</v>
      </c>
      <c r="CA82" s="1767">
        <v>0</v>
      </c>
      <c r="CB82" s="1767">
        <v>0</v>
      </c>
      <c r="CC82" s="1767">
        <v>0</v>
      </c>
      <c r="CD82" s="1767">
        <v>0</v>
      </c>
      <c r="CE82" s="1767">
        <v>0</v>
      </c>
      <c r="CF82" s="1767">
        <v>0</v>
      </c>
      <c r="CG82" s="1767">
        <v>0</v>
      </c>
      <c r="CH82" s="1767">
        <v>0</v>
      </c>
      <c r="CI82" s="1767">
        <v>0</v>
      </c>
      <c r="CJ82" s="1767">
        <v>0</v>
      </c>
      <c r="CK82" s="1767">
        <v>0</v>
      </c>
      <c r="CL82" s="1767">
        <v>0</v>
      </c>
      <c r="CM82" s="1767">
        <v>0</v>
      </c>
      <c r="CN82" s="1767">
        <v>0</v>
      </c>
      <c r="CO82" s="1767">
        <v>0</v>
      </c>
      <c r="CP82" s="1767">
        <v>0</v>
      </c>
    </row>
    <row r="83" spans="1:94" ht="15" customHeight="1" thickBot="1" x14ac:dyDescent="0.25">
      <c r="A83" s="1848"/>
      <c r="B83" s="1857"/>
      <c r="C83" s="654" t="s">
        <v>530</v>
      </c>
      <c r="D83" s="950"/>
      <c r="E83" s="1832"/>
      <c r="F83" s="1225"/>
      <c r="G83" s="1767">
        <v>0</v>
      </c>
      <c r="H83" s="1767">
        <v>0</v>
      </c>
      <c r="I83" s="1767">
        <v>0</v>
      </c>
      <c r="J83" s="1767">
        <v>0</v>
      </c>
      <c r="K83" s="1767">
        <v>0</v>
      </c>
      <c r="L83" s="1767">
        <v>0</v>
      </c>
      <c r="M83" s="1767">
        <v>0</v>
      </c>
      <c r="N83" s="1767">
        <v>0</v>
      </c>
      <c r="O83" s="1767">
        <v>0</v>
      </c>
      <c r="P83" s="1767">
        <v>0</v>
      </c>
      <c r="Q83" s="1767">
        <v>0</v>
      </c>
      <c r="R83" s="1767">
        <v>0</v>
      </c>
      <c r="S83" s="1767">
        <v>0</v>
      </c>
      <c r="T83" s="1767">
        <v>0</v>
      </c>
      <c r="U83" s="1767">
        <v>0</v>
      </c>
      <c r="V83" s="1767">
        <v>0</v>
      </c>
      <c r="W83" s="1767">
        <v>0</v>
      </c>
      <c r="X83" s="1767">
        <v>0</v>
      </c>
      <c r="Y83" s="1767">
        <v>0</v>
      </c>
      <c r="Z83" s="1767">
        <v>0</v>
      </c>
      <c r="AA83" s="1767">
        <v>0</v>
      </c>
      <c r="AB83" s="1767">
        <v>0</v>
      </c>
      <c r="AC83" s="1767">
        <v>0</v>
      </c>
      <c r="AD83" s="1767">
        <v>0</v>
      </c>
      <c r="AE83" s="1767">
        <v>0</v>
      </c>
      <c r="AF83" s="1767">
        <v>0</v>
      </c>
      <c r="AG83" s="1767">
        <v>0</v>
      </c>
      <c r="AH83" s="1767">
        <v>0</v>
      </c>
      <c r="AI83" s="1767">
        <v>0</v>
      </c>
      <c r="AJ83" s="1767">
        <v>0</v>
      </c>
      <c r="AK83" s="1767">
        <v>0</v>
      </c>
      <c r="AL83" s="1767">
        <v>0</v>
      </c>
      <c r="AM83" s="1767">
        <v>0</v>
      </c>
      <c r="AN83" s="1767">
        <v>0</v>
      </c>
      <c r="AO83" s="1767">
        <v>0</v>
      </c>
      <c r="AP83" s="1767">
        <v>0</v>
      </c>
      <c r="AQ83" s="1767">
        <v>0</v>
      </c>
      <c r="AR83" s="1767">
        <v>0</v>
      </c>
      <c r="AS83" s="1767">
        <v>0</v>
      </c>
      <c r="AT83" s="1767">
        <v>0</v>
      </c>
      <c r="AU83" s="1767">
        <v>0</v>
      </c>
      <c r="AV83" s="1767">
        <v>0</v>
      </c>
      <c r="AW83" s="1767">
        <v>0</v>
      </c>
      <c r="AX83" s="1767">
        <v>0</v>
      </c>
      <c r="AY83" s="1767">
        <v>0</v>
      </c>
      <c r="AZ83" s="1767">
        <v>0</v>
      </c>
      <c r="BA83" s="1767">
        <v>0</v>
      </c>
      <c r="BB83" s="1767">
        <v>0</v>
      </c>
      <c r="BC83" s="1767">
        <v>0</v>
      </c>
      <c r="BD83" s="1767">
        <v>0</v>
      </c>
      <c r="BE83" s="1767">
        <v>0</v>
      </c>
      <c r="BF83" s="1767">
        <v>0</v>
      </c>
      <c r="BG83" s="1767">
        <v>0</v>
      </c>
      <c r="BH83" s="1767">
        <v>0</v>
      </c>
      <c r="BI83" s="1767">
        <v>0</v>
      </c>
      <c r="BJ83" s="1767">
        <v>0</v>
      </c>
      <c r="BK83" s="1767">
        <v>0</v>
      </c>
      <c r="BL83" s="1767">
        <v>0</v>
      </c>
      <c r="BM83" s="1767">
        <v>0</v>
      </c>
      <c r="BN83" s="1767">
        <v>0</v>
      </c>
      <c r="BO83" s="1767">
        <v>0</v>
      </c>
      <c r="BP83" s="1767">
        <v>0</v>
      </c>
      <c r="BQ83" s="1767">
        <v>0</v>
      </c>
      <c r="BR83" s="1767">
        <v>0</v>
      </c>
      <c r="BS83" s="1767">
        <v>0</v>
      </c>
      <c r="BT83" s="1767">
        <v>0</v>
      </c>
      <c r="BU83" s="1767">
        <v>0</v>
      </c>
      <c r="BV83" s="1767">
        <v>0</v>
      </c>
      <c r="BW83" s="1767">
        <v>0</v>
      </c>
      <c r="BX83" s="1767">
        <v>0</v>
      </c>
      <c r="BY83" s="1767">
        <v>0</v>
      </c>
      <c r="BZ83" s="1767">
        <v>0</v>
      </c>
      <c r="CA83" s="1767">
        <v>0</v>
      </c>
      <c r="CB83" s="1767">
        <v>0</v>
      </c>
      <c r="CC83" s="1767">
        <v>0</v>
      </c>
      <c r="CD83" s="1767">
        <v>0</v>
      </c>
      <c r="CE83" s="1767">
        <v>0</v>
      </c>
      <c r="CF83" s="1767">
        <v>0</v>
      </c>
      <c r="CG83" s="1767">
        <v>0</v>
      </c>
      <c r="CH83" s="1767">
        <v>0</v>
      </c>
      <c r="CI83" s="1767">
        <v>0</v>
      </c>
      <c r="CJ83" s="1767">
        <v>0</v>
      </c>
      <c r="CK83" s="1767">
        <v>0</v>
      </c>
      <c r="CL83" s="1767">
        <v>0</v>
      </c>
      <c r="CM83" s="1767">
        <v>0</v>
      </c>
      <c r="CN83" s="1767">
        <v>0</v>
      </c>
      <c r="CO83" s="1767">
        <v>0</v>
      </c>
      <c r="CP83" s="1767">
        <v>0</v>
      </c>
    </row>
    <row r="84" spans="1:94" ht="42.75" customHeight="1" thickBot="1" x14ac:dyDescent="0.25">
      <c r="A84" s="1856" t="s">
        <v>1290</v>
      </c>
      <c r="B84" s="1856" t="s">
        <v>1</v>
      </c>
      <c r="C84" s="1775" t="s">
        <v>2099</v>
      </c>
      <c r="D84" s="946"/>
      <c r="E84" s="1831" t="s">
        <v>2072</v>
      </c>
      <c r="F84" s="1225"/>
      <c r="G84" s="1742"/>
      <c r="H84" s="1742"/>
      <c r="I84" s="1742"/>
      <c r="J84" s="1742"/>
      <c r="K84" s="1742"/>
      <c r="L84" s="1742"/>
      <c r="M84" s="1742"/>
      <c r="N84" s="1742"/>
      <c r="O84" s="1742"/>
      <c r="P84" s="1742"/>
      <c r="Q84" s="1742"/>
      <c r="R84" s="1742"/>
      <c r="S84" s="1742"/>
      <c r="T84" s="1742"/>
      <c r="U84" s="1742"/>
      <c r="V84" s="1742"/>
      <c r="W84" s="1742"/>
      <c r="X84" s="1742"/>
      <c r="Y84" s="1742"/>
      <c r="Z84" s="1742"/>
      <c r="AA84" s="1742"/>
      <c r="AB84" s="1742"/>
      <c r="AC84" s="1742"/>
      <c r="AD84" s="1742"/>
      <c r="AE84" s="1742"/>
      <c r="AF84" s="1742"/>
      <c r="AG84" s="1742"/>
      <c r="AH84" s="1742"/>
      <c r="AI84" s="1742"/>
      <c r="AJ84" s="1742"/>
      <c r="AK84" s="1742"/>
      <c r="AL84" s="1742"/>
      <c r="AM84" s="1742"/>
      <c r="AN84" s="1742"/>
      <c r="AO84" s="1742"/>
      <c r="AP84" s="1742"/>
      <c r="AQ84" s="1742"/>
      <c r="AR84" s="1742"/>
      <c r="AS84" s="1742"/>
      <c r="AT84" s="1742"/>
      <c r="AU84" s="1742"/>
      <c r="AV84" s="1742"/>
      <c r="AW84" s="1742"/>
      <c r="AX84" s="1742"/>
      <c r="AY84" s="1742"/>
      <c r="AZ84" s="1742"/>
      <c r="BA84" s="1742"/>
      <c r="BB84" s="1742"/>
      <c r="BC84" s="1742"/>
      <c r="BD84" s="1742"/>
      <c r="BE84" s="1742"/>
      <c r="BF84" s="1742"/>
      <c r="BG84" s="1742"/>
      <c r="BH84" s="1742"/>
      <c r="BI84" s="1742"/>
      <c r="BJ84" s="1742"/>
      <c r="BK84" s="1742"/>
      <c r="BL84" s="1742"/>
      <c r="BM84" s="1742"/>
      <c r="BN84" s="1742"/>
      <c r="BO84" s="1742"/>
      <c r="BP84" s="1742"/>
      <c r="BQ84" s="1742"/>
      <c r="BR84" s="1742"/>
      <c r="BS84" s="1742"/>
      <c r="BT84" s="1742"/>
      <c r="BU84" s="1742"/>
      <c r="BV84" s="1742"/>
      <c r="BW84" s="1742"/>
      <c r="BX84" s="1742"/>
      <c r="BY84" s="1742"/>
      <c r="BZ84" s="1742"/>
      <c r="CA84" s="1742"/>
      <c r="CB84" s="1742"/>
      <c r="CC84" s="1742"/>
      <c r="CD84" s="1742"/>
      <c r="CE84" s="1742"/>
      <c r="CF84" s="1742"/>
      <c r="CG84" s="1742"/>
      <c r="CH84" s="1742"/>
      <c r="CI84" s="1742"/>
      <c r="CJ84" s="1742"/>
      <c r="CK84" s="1742"/>
      <c r="CL84" s="1742"/>
      <c r="CM84" s="1742"/>
      <c r="CN84" s="1742"/>
      <c r="CO84" s="1742"/>
      <c r="CP84" s="1742"/>
    </row>
    <row r="85" spans="1:94" ht="15" customHeight="1" x14ac:dyDescent="0.2">
      <c r="A85" s="1856"/>
      <c r="B85" s="1856"/>
      <c r="C85" s="660" t="s">
        <v>577</v>
      </c>
      <c r="D85" s="936"/>
      <c r="E85" s="1831"/>
      <c r="F85" s="1225"/>
      <c r="G85" s="1767">
        <v>0</v>
      </c>
      <c r="H85" s="1767">
        <v>0</v>
      </c>
      <c r="I85" s="1767">
        <v>0</v>
      </c>
      <c r="J85" s="1767">
        <v>0</v>
      </c>
      <c r="K85" s="1767">
        <v>0</v>
      </c>
      <c r="L85" s="1767">
        <v>0</v>
      </c>
      <c r="M85" s="1767">
        <v>0</v>
      </c>
      <c r="N85" s="1767">
        <v>0</v>
      </c>
      <c r="O85" s="1767">
        <v>0</v>
      </c>
      <c r="P85" s="1767">
        <v>0</v>
      </c>
      <c r="Q85" s="1767">
        <v>0</v>
      </c>
      <c r="R85" s="1767">
        <v>0</v>
      </c>
      <c r="S85" s="1767">
        <v>0</v>
      </c>
      <c r="T85" s="1767">
        <v>0</v>
      </c>
      <c r="U85" s="1767">
        <v>0</v>
      </c>
      <c r="V85" s="1767">
        <v>0</v>
      </c>
      <c r="W85" s="1767">
        <v>0</v>
      </c>
      <c r="X85" s="1767">
        <v>0</v>
      </c>
      <c r="Y85" s="1767">
        <v>0</v>
      </c>
      <c r="Z85" s="1767">
        <v>0</v>
      </c>
      <c r="AA85" s="1767">
        <v>0</v>
      </c>
      <c r="AB85" s="1767">
        <v>0</v>
      </c>
      <c r="AC85" s="1767">
        <v>0</v>
      </c>
      <c r="AD85" s="1767">
        <v>0</v>
      </c>
      <c r="AE85" s="1767">
        <v>0</v>
      </c>
      <c r="AF85" s="1767">
        <v>0</v>
      </c>
      <c r="AG85" s="1767">
        <v>0</v>
      </c>
      <c r="AH85" s="1767">
        <v>0</v>
      </c>
      <c r="AI85" s="1767">
        <v>0</v>
      </c>
      <c r="AJ85" s="1767">
        <v>0</v>
      </c>
      <c r="AK85" s="1767">
        <v>0</v>
      </c>
      <c r="AL85" s="1767">
        <v>0</v>
      </c>
      <c r="AM85" s="1767">
        <v>0</v>
      </c>
      <c r="AN85" s="1767">
        <v>0</v>
      </c>
      <c r="AO85" s="1767">
        <v>0</v>
      </c>
      <c r="AP85" s="1767">
        <v>0</v>
      </c>
      <c r="AQ85" s="1767">
        <v>0</v>
      </c>
      <c r="AR85" s="1767">
        <v>0</v>
      </c>
      <c r="AS85" s="1767">
        <v>0</v>
      </c>
      <c r="AT85" s="1767">
        <v>0</v>
      </c>
      <c r="AU85" s="1767">
        <v>0</v>
      </c>
      <c r="AV85" s="1767">
        <v>0</v>
      </c>
      <c r="AW85" s="1767">
        <v>0</v>
      </c>
      <c r="AX85" s="1767">
        <v>0</v>
      </c>
      <c r="AY85" s="1767">
        <v>0</v>
      </c>
      <c r="AZ85" s="1767">
        <v>0</v>
      </c>
      <c r="BA85" s="1767">
        <v>0</v>
      </c>
      <c r="BB85" s="1767">
        <v>0</v>
      </c>
      <c r="BC85" s="1767">
        <v>0</v>
      </c>
      <c r="BD85" s="1767">
        <v>0</v>
      </c>
      <c r="BE85" s="1767">
        <v>0</v>
      </c>
      <c r="BF85" s="1767">
        <v>0</v>
      </c>
      <c r="BG85" s="1767">
        <v>0</v>
      </c>
      <c r="BH85" s="1767">
        <v>0</v>
      </c>
      <c r="BI85" s="1767">
        <v>0</v>
      </c>
      <c r="BJ85" s="1767">
        <v>0</v>
      </c>
      <c r="BK85" s="1767">
        <v>0</v>
      </c>
      <c r="BL85" s="1767">
        <v>0</v>
      </c>
      <c r="BM85" s="1767">
        <v>0</v>
      </c>
      <c r="BN85" s="1767">
        <v>0</v>
      </c>
      <c r="BO85" s="1767">
        <v>0</v>
      </c>
      <c r="BP85" s="1767">
        <v>0</v>
      </c>
      <c r="BQ85" s="1767">
        <v>0</v>
      </c>
      <c r="BR85" s="1767">
        <v>0</v>
      </c>
      <c r="BS85" s="1767">
        <v>0</v>
      </c>
      <c r="BT85" s="1767">
        <v>0</v>
      </c>
      <c r="BU85" s="1767">
        <v>0</v>
      </c>
      <c r="BV85" s="1767">
        <v>0</v>
      </c>
      <c r="BW85" s="1767">
        <v>0</v>
      </c>
      <c r="BX85" s="1767">
        <v>0</v>
      </c>
      <c r="BY85" s="1767">
        <v>0</v>
      </c>
      <c r="BZ85" s="1767">
        <v>0</v>
      </c>
      <c r="CA85" s="1767">
        <v>0</v>
      </c>
      <c r="CB85" s="1767">
        <v>0</v>
      </c>
      <c r="CC85" s="1767">
        <v>0</v>
      </c>
      <c r="CD85" s="1767">
        <v>0</v>
      </c>
      <c r="CE85" s="1767">
        <v>0</v>
      </c>
      <c r="CF85" s="1767">
        <v>0</v>
      </c>
      <c r="CG85" s="1767">
        <v>0</v>
      </c>
      <c r="CH85" s="1767">
        <v>0</v>
      </c>
      <c r="CI85" s="1767">
        <v>0</v>
      </c>
      <c r="CJ85" s="1767">
        <v>0</v>
      </c>
      <c r="CK85" s="1767">
        <v>0</v>
      </c>
      <c r="CL85" s="1767">
        <v>0</v>
      </c>
      <c r="CM85" s="1767">
        <v>0</v>
      </c>
      <c r="CN85" s="1767">
        <v>0</v>
      </c>
      <c r="CO85" s="1767">
        <v>0</v>
      </c>
      <c r="CP85" s="1767">
        <v>0</v>
      </c>
    </row>
    <row r="86" spans="1:94" ht="15" customHeight="1" x14ac:dyDescent="0.2">
      <c r="A86" s="1856"/>
      <c r="B86" s="1856"/>
      <c r="C86" s="653" t="s">
        <v>579</v>
      </c>
      <c r="D86" s="936"/>
      <c r="E86" s="1831"/>
      <c r="F86" s="1225"/>
      <c r="G86" s="1767">
        <v>0</v>
      </c>
      <c r="H86" s="1767">
        <v>0</v>
      </c>
      <c r="I86" s="1767">
        <v>0</v>
      </c>
      <c r="J86" s="1767">
        <v>0</v>
      </c>
      <c r="K86" s="1767">
        <v>0</v>
      </c>
      <c r="L86" s="1767">
        <v>0</v>
      </c>
      <c r="M86" s="1767">
        <v>0</v>
      </c>
      <c r="N86" s="1767">
        <v>0</v>
      </c>
      <c r="O86" s="1767">
        <v>0</v>
      </c>
      <c r="P86" s="1767">
        <v>0</v>
      </c>
      <c r="Q86" s="1767">
        <v>0</v>
      </c>
      <c r="R86" s="1767">
        <v>0</v>
      </c>
      <c r="S86" s="1767">
        <v>0</v>
      </c>
      <c r="T86" s="1767">
        <v>0</v>
      </c>
      <c r="U86" s="1767">
        <v>0</v>
      </c>
      <c r="V86" s="1767">
        <v>0</v>
      </c>
      <c r="W86" s="1767">
        <v>0</v>
      </c>
      <c r="X86" s="1767">
        <v>0</v>
      </c>
      <c r="Y86" s="1767">
        <v>0</v>
      </c>
      <c r="Z86" s="1767">
        <v>0</v>
      </c>
      <c r="AA86" s="1767">
        <v>0</v>
      </c>
      <c r="AB86" s="1767">
        <v>0</v>
      </c>
      <c r="AC86" s="1767">
        <v>0</v>
      </c>
      <c r="AD86" s="1767">
        <v>0</v>
      </c>
      <c r="AE86" s="1767">
        <v>0</v>
      </c>
      <c r="AF86" s="1767">
        <v>0</v>
      </c>
      <c r="AG86" s="1767">
        <v>0</v>
      </c>
      <c r="AH86" s="1767">
        <v>0</v>
      </c>
      <c r="AI86" s="1767">
        <v>0</v>
      </c>
      <c r="AJ86" s="1767">
        <v>0</v>
      </c>
      <c r="AK86" s="1767">
        <v>0</v>
      </c>
      <c r="AL86" s="1767">
        <v>0</v>
      </c>
      <c r="AM86" s="1767">
        <v>0</v>
      </c>
      <c r="AN86" s="1767">
        <v>0</v>
      </c>
      <c r="AO86" s="1767">
        <v>0</v>
      </c>
      <c r="AP86" s="1767">
        <v>0</v>
      </c>
      <c r="AQ86" s="1767">
        <v>0</v>
      </c>
      <c r="AR86" s="1767">
        <v>0</v>
      </c>
      <c r="AS86" s="1767">
        <v>0</v>
      </c>
      <c r="AT86" s="1767">
        <v>0</v>
      </c>
      <c r="AU86" s="1767">
        <v>0</v>
      </c>
      <c r="AV86" s="1767">
        <v>0</v>
      </c>
      <c r="AW86" s="1767">
        <v>0</v>
      </c>
      <c r="AX86" s="1767">
        <v>0</v>
      </c>
      <c r="AY86" s="1767">
        <v>0</v>
      </c>
      <c r="AZ86" s="1767">
        <v>0</v>
      </c>
      <c r="BA86" s="1767">
        <v>0</v>
      </c>
      <c r="BB86" s="1767">
        <v>0</v>
      </c>
      <c r="BC86" s="1767">
        <v>0</v>
      </c>
      <c r="BD86" s="1767">
        <v>0</v>
      </c>
      <c r="BE86" s="1767">
        <v>0</v>
      </c>
      <c r="BF86" s="1767">
        <v>0</v>
      </c>
      <c r="BG86" s="1767">
        <v>0</v>
      </c>
      <c r="BH86" s="1767">
        <v>0</v>
      </c>
      <c r="BI86" s="1767">
        <v>0</v>
      </c>
      <c r="BJ86" s="1767">
        <v>0</v>
      </c>
      <c r="BK86" s="1767">
        <v>0</v>
      </c>
      <c r="BL86" s="1767">
        <v>0</v>
      </c>
      <c r="BM86" s="1767">
        <v>0</v>
      </c>
      <c r="BN86" s="1767">
        <v>0</v>
      </c>
      <c r="BO86" s="1767">
        <v>0</v>
      </c>
      <c r="BP86" s="1767">
        <v>0</v>
      </c>
      <c r="BQ86" s="1767">
        <v>0</v>
      </c>
      <c r="BR86" s="1767">
        <v>0</v>
      </c>
      <c r="BS86" s="1767">
        <v>0</v>
      </c>
      <c r="BT86" s="1767">
        <v>0</v>
      </c>
      <c r="BU86" s="1767">
        <v>0</v>
      </c>
      <c r="BV86" s="1767">
        <v>0</v>
      </c>
      <c r="BW86" s="1767">
        <v>0</v>
      </c>
      <c r="BX86" s="1767">
        <v>0</v>
      </c>
      <c r="BY86" s="1767">
        <v>0</v>
      </c>
      <c r="BZ86" s="1767">
        <v>0</v>
      </c>
      <c r="CA86" s="1767">
        <v>0</v>
      </c>
      <c r="CB86" s="1767">
        <v>0</v>
      </c>
      <c r="CC86" s="1767">
        <v>0</v>
      </c>
      <c r="CD86" s="1767">
        <v>0</v>
      </c>
      <c r="CE86" s="1767">
        <v>0</v>
      </c>
      <c r="CF86" s="1767">
        <v>0</v>
      </c>
      <c r="CG86" s="1767">
        <v>0</v>
      </c>
      <c r="CH86" s="1767">
        <v>0</v>
      </c>
      <c r="CI86" s="1767">
        <v>0</v>
      </c>
      <c r="CJ86" s="1767">
        <v>0</v>
      </c>
      <c r="CK86" s="1767">
        <v>0</v>
      </c>
      <c r="CL86" s="1767">
        <v>0</v>
      </c>
      <c r="CM86" s="1767">
        <v>0</v>
      </c>
      <c r="CN86" s="1767">
        <v>0</v>
      </c>
      <c r="CO86" s="1767">
        <v>0</v>
      </c>
      <c r="CP86" s="1767">
        <v>0</v>
      </c>
    </row>
    <row r="87" spans="1:94" ht="15" customHeight="1" x14ac:dyDescent="0.2">
      <c r="A87" s="1856"/>
      <c r="B87" s="1856"/>
      <c r="C87" s="653" t="s">
        <v>578</v>
      </c>
      <c r="D87" s="936"/>
      <c r="E87" s="1831"/>
      <c r="F87" s="1225"/>
      <c r="G87" s="1767">
        <v>0</v>
      </c>
      <c r="H87" s="1767">
        <v>0</v>
      </c>
      <c r="I87" s="1767">
        <v>0</v>
      </c>
      <c r="J87" s="1767">
        <v>0</v>
      </c>
      <c r="K87" s="1767">
        <v>0</v>
      </c>
      <c r="L87" s="1767">
        <v>0</v>
      </c>
      <c r="M87" s="1767">
        <v>0</v>
      </c>
      <c r="N87" s="1767">
        <v>0</v>
      </c>
      <c r="O87" s="1767">
        <v>0</v>
      </c>
      <c r="P87" s="1767">
        <v>0</v>
      </c>
      <c r="Q87" s="1767">
        <v>0</v>
      </c>
      <c r="R87" s="1767">
        <v>0</v>
      </c>
      <c r="S87" s="1767">
        <v>0</v>
      </c>
      <c r="T87" s="1767">
        <v>0</v>
      </c>
      <c r="U87" s="1767">
        <v>0</v>
      </c>
      <c r="V87" s="1767">
        <v>0</v>
      </c>
      <c r="W87" s="1767">
        <v>0</v>
      </c>
      <c r="X87" s="1767">
        <v>0</v>
      </c>
      <c r="Y87" s="1767">
        <v>0</v>
      </c>
      <c r="Z87" s="1767">
        <v>0</v>
      </c>
      <c r="AA87" s="1767">
        <v>0</v>
      </c>
      <c r="AB87" s="1767">
        <v>0</v>
      </c>
      <c r="AC87" s="1767">
        <v>0</v>
      </c>
      <c r="AD87" s="1767">
        <v>0</v>
      </c>
      <c r="AE87" s="1767">
        <v>0</v>
      </c>
      <c r="AF87" s="1767">
        <v>0</v>
      </c>
      <c r="AG87" s="1767">
        <v>0</v>
      </c>
      <c r="AH87" s="1767">
        <v>0</v>
      </c>
      <c r="AI87" s="1767">
        <v>0</v>
      </c>
      <c r="AJ87" s="1767">
        <v>0</v>
      </c>
      <c r="AK87" s="1767">
        <v>0</v>
      </c>
      <c r="AL87" s="1767">
        <v>0</v>
      </c>
      <c r="AM87" s="1767">
        <v>0</v>
      </c>
      <c r="AN87" s="1767">
        <v>0</v>
      </c>
      <c r="AO87" s="1767">
        <v>0</v>
      </c>
      <c r="AP87" s="1767">
        <v>0</v>
      </c>
      <c r="AQ87" s="1767">
        <v>0</v>
      </c>
      <c r="AR87" s="1767">
        <v>0</v>
      </c>
      <c r="AS87" s="1767">
        <v>0</v>
      </c>
      <c r="AT87" s="1767">
        <v>0</v>
      </c>
      <c r="AU87" s="1767">
        <v>0</v>
      </c>
      <c r="AV87" s="1767">
        <v>0</v>
      </c>
      <c r="AW87" s="1767">
        <v>0</v>
      </c>
      <c r="AX87" s="1767">
        <v>0</v>
      </c>
      <c r="AY87" s="1767">
        <v>0</v>
      </c>
      <c r="AZ87" s="1767">
        <v>0</v>
      </c>
      <c r="BA87" s="1767">
        <v>0</v>
      </c>
      <c r="BB87" s="1767">
        <v>0</v>
      </c>
      <c r="BC87" s="1767">
        <v>0</v>
      </c>
      <c r="BD87" s="1767">
        <v>0</v>
      </c>
      <c r="BE87" s="1767">
        <v>0</v>
      </c>
      <c r="BF87" s="1767">
        <v>0</v>
      </c>
      <c r="BG87" s="1767">
        <v>0</v>
      </c>
      <c r="BH87" s="1767">
        <v>0</v>
      </c>
      <c r="BI87" s="1767">
        <v>0</v>
      </c>
      <c r="BJ87" s="1767">
        <v>0</v>
      </c>
      <c r="BK87" s="1767">
        <v>0</v>
      </c>
      <c r="BL87" s="1767">
        <v>0</v>
      </c>
      <c r="BM87" s="1767">
        <v>0</v>
      </c>
      <c r="BN87" s="1767">
        <v>0</v>
      </c>
      <c r="BO87" s="1767">
        <v>0</v>
      </c>
      <c r="BP87" s="1767">
        <v>0</v>
      </c>
      <c r="BQ87" s="1767">
        <v>0</v>
      </c>
      <c r="BR87" s="1767">
        <v>0</v>
      </c>
      <c r="BS87" s="1767">
        <v>0</v>
      </c>
      <c r="BT87" s="1767">
        <v>0</v>
      </c>
      <c r="BU87" s="1767">
        <v>0</v>
      </c>
      <c r="BV87" s="1767">
        <v>0</v>
      </c>
      <c r="BW87" s="1767">
        <v>0</v>
      </c>
      <c r="BX87" s="1767">
        <v>0</v>
      </c>
      <c r="BY87" s="1767">
        <v>0</v>
      </c>
      <c r="BZ87" s="1767">
        <v>0</v>
      </c>
      <c r="CA87" s="1767">
        <v>0</v>
      </c>
      <c r="CB87" s="1767">
        <v>0</v>
      </c>
      <c r="CC87" s="1767">
        <v>0</v>
      </c>
      <c r="CD87" s="1767">
        <v>0</v>
      </c>
      <c r="CE87" s="1767">
        <v>0</v>
      </c>
      <c r="CF87" s="1767">
        <v>0</v>
      </c>
      <c r="CG87" s="1767">
        <v>0</v>
      </c>
      <c r="CH87" s="1767">
        <v>0</v>
      </c>
      <c r="CI87" s="1767">
        <v>0</v>
      </c>
      <c r="CJ87" s="1767">
        <v>0</v>
      </c>
      <c r="CK87" s="1767">
        <v>0</v>
      </c>
      <c r="CL87" s="1767">
        <v>0</v>
      </c>
      <c r="CM87" s="1767">
        <v>0</v>
      </c>
      <c r="CN87" s="1767">
        <v>0</v>
      </c>
      <c r="CO87" s="1767">
        <v>0</v>
      </c>
      <c r="CP87" s="1767">
        <v>0</v>
      </c>
    </row>
    <row r="88" spans="1:94" ht="15" customHeight="1" thickBot="1" x14ac:dyDescent="0.25">
      <c r="A88" s="1857"/>
      <c r="B88" s="1857"/>
      <c r="C88" s="658" t="s">
        <v>580</v>
      </c>
      <c r="D88" s="936"/>
      <c r="E88" s="1831"/>
      <c r="F88" s="1225"/>
      <c r="G88" s="1767">
        <v>0</v>
      </c>
      <c r="H88" s="1767">
        <v>0</v>
      </c>
      <c r="I88" s="1767">
        <v>0</v>
      </c>
      <c r="J88" s="1767">
        <v>0</v>
      </c>
      <c r="K88" s="1767">
        <v>0</v>
      </c>
      <c r="L88" s="1767">
        <v>0</v>
      </c>
      <c r="M88" s="1767">
        <v>0</v>
      </c>
      <c r="N88" s="1767">
        <v>0</v>
      </c>
      <c r="O88" s="1767">
        <v>0</v>
      </c>
      <c r="P88" s="1767">
        <v>0</v>
      </c>
      <c r="Q88" s="1767">
        <v>0</v>
      </c>
      <c r="R88" s="1767">
        <v>0</v>
      </c>
      <c r="S88" s="1767">
        <v>0</v>
      </c>
      <c r="T88" s="1767">
        <v>0</v>
      </c>
      <c r="U88" s="1767">
        <v>0</v>
      </c>
      <c r="V88" s="1767">
        <v>0</v>
      </c>
      <c r="W88" s="1767">
        <v>0</v>
      </c>
      <c r="X88" s="1767">
        <v>0</v>
      </c>
      <c r="Y88" s="1767">
        <v>0</v>
      </c>
      <c r="Z88" s="1767">
        <v>0</v>
      </c>
      <c r="AA88" s="1767">
        <v>0</v>
      </c>
      <c r="AB88" s="1767">
        <v>0</v>
      </c>
      <c r="AC88" s="1767">
        <v>0</v>
      </c>
      <c r="AD88" s="1767">
        <v>0</v>
      </c>
      <c r="AE88" s="1767">
        <v>0</v>
      </c>
      <c r="AF88" s="1767">
        <v>0</v>
      </c>
      <c r="AG88" s="1767">
        <v>0</v>
      </c>
      <c r="AH88" s="1767">
        <v>0</v>
      </c>
      <c r="AI88" s="1767">
        <v>0</v>
      </c>
      <c r="AJ88" s="1767">
        <v>0</v>
      </c>
      <c r="AK88" s="1767">
        <v>0</v>
      </c>
      <c r="AL88" s="1767">
        <v>0</v>
      </c>
      <c r="AM88" s="1767">
        <v>0</v>
      </c>
      <c r="AN88" s="1767">
        <v>0</v>
      </c>
      <c r="AO88" s="1767">
        <v>0</v>
      </c>
      <c r="AP88" s="1767">
        <v>0</v>
      </c>
      <c r="AQ88" s="1767">
        <v>0</v>
      </c>
      <c r="AR88" s="1767">
        <v>0</v>
      </c>
      <c r="AS88" s="1767">
        <v>0</v>
      </c>
      <c r="AT88" s="1767">
        <v>0</v>
      </c>
      <c r="AU88" s="1767">
        <v>0</v>
      </c>
      <c r="AV88" s="1767">
        <v>0</v>
      </c>
      <c r="AW88" s="1767">
        <v>0</v>
      </c>
      <c r="AX88" s="1767">
        <v>0</v>
      </c>
      <c r="AY88" s="1767">
        <v>0</v>
      </c>
      <c r="AZ88" s="1767">
        <v>0</v>
      </c>
      <c r="BA88" s="1767">
        <v>0</v>
      </c>
      <c r="BB88" s="1767">
        <v>0</v>
      </c>
      <c r="BC88" s="1767">
        <v>0</v>
      </c>
      <c r="BD88" s="1767">
        <v>0</v>
      </c>
      <c r="BE88" s="1767">
        <v>0</v>
      </c>
      <c r="BF88" s="1767">
        <v>0</v>
      </c>
      <c r="BG88" s="1767">
        <v>0</v>
      </c>
      <c r="BH88" s="1767">
        <v>0</v>
      </c>
      <c r="BI88" s="1767">
        <v>0</v>
      </c>
      <c r="BJ88" s="1767">
        <v>0</v>
      </c>
      <c r="BK88" s="1767">
        <v>0</v>
      </c>
      <c r="BL88" s="1767">
        <v>0</v>
      </c>
      <c r="BM88" s="1767">
        <v>0</v>
      </c>
      <c r="BN88" s="1767">
        <v>0</v>
      </c>
      <c r="BO88" s="1767">
        <v>0</v>
      </c>
      <c r="BP88" s="1767">
        <v>0</v>
      </c>
      <c r="BQ88" s="1767">
        <v>0</v>
      </c>
      <c r="BR88" s="1767">
        <v>0</v>
      </c>
      <c r="BS88" s="1767">
        <v>0</v>
      </c>
      <c r="BT88" s="1767">
        <v>0</v>
      </c>
      <c r="BU88" s="1767">
        <v>0</v>
      </c>
      <c r="BV88" s="1767">
        <v>0</v>
      </c>
      <c r="BW88" s="1767">
        <v>0</v>
      </c>
      <c r="BX88" s="1767">
        <v>0</v>
      </c>
      <c r="BY88" s="1767">
        <v>0</v>
      </c>
      <c r="BZ88" s="1767">
        <v>0</v>
      </c>
      <c r="CA88" s="1767">
        <v>0</v>
      </c>
      <c r="CB88" s="1767">
        <v>0</v>
      </c>
      <c r="CC88" s="1767">
        <v>0</v>
      </c>
      <c r="CD88" s="1767">
        <v>0</v>
      </c>
      <c r="CE88" s="1767">
        <v>0</v>
      </c>
      <c r="CF88" s="1767">
        <v>0</v>
      </c>
      <c r="CG88" s="1767">
        <v>0</v>
      </c>
      <c r="CH88" s="1767">
        <v>0</v>
      </c>
      <c r="CI88" s="1767">
        <v>0</v>
      </c>
      <c r="CJ88" s="1767">
        <v>0</v>
      </c>
      <c r="CK88" s="1767">
        <v>0</v>
      </c>
      <c r="CL88" s="1767">
        <v>0</v>
      </c>
      <c r="CM88" s="1767">
        <v>0</v>
      </c>
      <c r="CN88" s="1767">
        <v>0</v>
      </c>
      <c r="CO88" s="1767">
        <v>0</v>
      </c>
      <c r="CP88" s="1767">
        <v>0</v>
      </c>
    </row>
    <row r="89" spans="1:94" ht="27" customHeight="1" thickBot="1" x14ac:dyDescent="0.25">
      <c r="A89" s="1849" t="s">
        <v>1291</v>
      </c>
      <c r="B89" s="1833" t="s">
        <v>633</v>
      </c>
      <c r="C89" s="1779" t="s">
        <v>2356</v>
      </c>
      <c r="D89" s="947"/>
      <c r="E89" s="1836" t="s">
        <v>2314</v>
      </c>
      <c r="F89" s="1225"/>
      <c r="G89" s="1742"/>
      <c r="H89" s="1742"/>
      <c r="I89" s="1742"/>
      <c r="J89" s="1742"/>
      <c r="K89" s="1742"/>
      <c r="L89" s="1742"/>
      <c r="M89" s="1742"/>
      <c r="N89" s="1742"/>
      <c r="O89" s="1742"/>
      <c r="P89" s="1742"/>
      <c r="Q89" s="1742"/>
      <c r="R89" s="1742"/>
      <c r="S89" s="1742"/>
      <c r="T89" s="1742"/>
      <c r="U89" s="1742"/>
      <c r="V89" s="1742"/>
      <c r="W89" s="1742"/>
      <c r="X89" s="1742"/>
      <c r="Y89" s="1742"/>
      <c r="Z89" s="1742"/>
      <c r="AA89" s="1742"/>
      <c r="AB89" s="1742"/>
      <c r="AC89" s="1742"/>
      <c r="AD89" s="1742"/>
      <c r="AE89" s="1742"/>
      <c r="AF89" s="1742"/>
      <c r="AG89" s="1742"/>
      <c r="AH89" s="1742"/>
      <c r="AI89" s="1742"/>
      <c r="AJ89" s="1742"/>
      <c r="AK89" s="1742"/>
      <c r="AL89" s="1742"/>
      <c r="AM89" s="1742"/>
      <c r="AN89" s="1742"/>
      <c r="AO89" s="1742"/>
      <c r="AP89" s="1742"/>
      <c r="AQ89" s="1742"/>
      <c r="AR89" s="1742"/>
      <c r="AS89" s="1742"/>
      <c r="AT89" s="1742"/>
      <c r="AU89" s="1742"/>
      <c r="AV89" s="1742"/>
      <c r="AW89" s="1742"/>
      <c r="AX89" s="1742"/>
      <c r="AY89" s="1742"/>
      <c r="AZ89" s="1742"/>
      <c r="BA89" s="1742"/>
      <c r="BB89" s="1742"/>
      <c r="BC89" s="1742"/>
      <c r="BD89" s="1742"/>
      <c r="BE89" s="1742"/>
      <c r="BF89" s="1742"/>
      <c r="BG89" s="1742"/>
      <c r="BH89" s="1742"/>
      <c r="BI89" s="1742"/>
      <c r="BJ89" s="1742"/>
      <c r="BK89" s="1742"/>
      <c r="BL89" s="1742"/>
      <c r="BM89" s="1742"/>
      <c r="BN89" s="1742"/>
      <c r="BO89" s="1742"/>
      <c r="BP89" s="1742"/>
      <c r="BQ89" s="1742"/>
      <c r="BR89" s="1742"/>
      <c r="BS89" s="1742"/>
      <c r="BT89" s="1742"/>
      <c r="BU89" s="1742"/>
      <c r="BV89" s="1742"/>
      <c r="BW89" s="1742"/>
      <c r="BX89" s="1742"/>
      <c r="BY89" s="1742"/>
      <c r="BZ89" s="1742"/>
      <c r="CA89" s="1742"/>
      <c r="CB89" s="1742"/>
      <c r="CC89" s="1742"/>
      <c r="CD89" s="1742"/>
      <c r="CE89" s="1742"/>
      <c r="CF89" s="1742"/>
      <c r="CG89" s="1742"/>
      <c r="CH89" s="1742"/>
      <c r="CI89" s="1742"/>
      <c r="CJ89" s="1742"/>
      <c r="CK89" s="1742"/>
      <c r="CL89" s="1742"/>
      <c r="CM89" s="1742"/>
      <c r="CN89" s="1742"/>
      <c r="CO89" s="1742"/>
      <c r="CP89" s="1742"/>
    </row>
    <row r="90" spans="1:94" ht="30.75" customHeight="1" x14ac:dyDescent="0.2">
      <c r="A90" s="1847"/>
      <c r="B90" s="1834"/>
      <c r="C90" s="662" t="s">
        <v>2357</v>
      </c>
      <c r="D90" s="936"/>
      <c r="E90" s="1837"/>
      <c r="F90" s="1225"/>
      <c r="G90" s="1767">
        <v>0</v>
      </c>
      <c r="H90" s="1767">
        <v>0</v>
      </c>
      <c r="I90" s="1767">
        <v>0</v>
      </c>
      <c r="J90" s="1767">
        <v>0</v>
      </c>
      <c r="K90" s="1767">
        <v>0</v>
      </c>
      <c r="L90" s="1767">
        <v>0</v>
      </c>
      <c r="M90" s="1767">
        <v>0</v>
      </c>
      <c r="N90" s="1767">
        <v>0</v>
      </c>
      <c r="O90" s="1767">
        <v>0</v>
      </c>
      <c r="P90" s="1767">
        <v>0</v>
      </c>
      <c r="Q90" s="1767">
        <v>0</v>
      </c>
      <c r="R90" s="1767">
        <v>0</v>
      </c>
      <c r="S90" s="1767">
        <v>0</v>
      </c>
      <c r="T90" s="1767">
        <v>0</v>
      </c>
      <c r="U90" s="1767">
        <v>0</v>
      </c>
      <c r="V90" s="1767">
        <v>0</v>
      </c>
      <c r="W90" s="1767">
        <v>0</v>
      </c>
      <c r="X90" s="1767">
        <v>0</v>
      </c>
      <c r="Y90" s="1767">
        <v>0</v>
      </c>
      <c r="Z90" s="1767">
        <v>0</v>
      </c>
      <c r="AA90" s="1767">
        <v>0</v>
      </c>
      <c r="AB90" s="1767">
        <v>0</v>
      </c>
      <c r="AC90" s="1767">
        <v>0</v>
      </c>
      <c r="AD90" s="1767">
        <v>0</v>
      </c>
      <c r="AE90" s="1767">
        <v>0</v>
      </c>
      <c r="AF90" s="1767">
        <v>0</v>
      </c>
      <c r="AG90" s="1767">
        <v>0</v>
      </c>
      <c r="AH90" s="1767">
        <v>0</v>
      </c>
      <c r="AI90" s="1767">
        <v>0</v>
      </c>
      <c r="AJ90" s="1767">
        <v>0</v>
      </c>
      <c r="AK90" s="1767">
        <v>0</v>
      </c>
      <c r="AL90" s="1767">
        <v>0</v>
      </c>
      <c r="AM90" s="1767">
        <v>0</v>
      </c>
      <c r="AN90" s="1767">
        <v>0</v>
      </c>
      <c r="AO90" s="1767">
        <v>0</v>
      </c>
      <c r="AP90" s="1767">
        <v>0</v>
      </c>
      <c r="AQ90" s="1767">
        <v>0</v>
      </c>
      <c r="AR90" s="1767">
        <v>0</v>
      </c>
      <c r="AS90" s="1767">
        <v>0</v>
      </c>
      <c r="AT90" s="1767">
        <v>0</v>
      </c>
      <c r="AU90" s="1767">
        <v>0</v>
      </c>
      <c r="AV90" s="1767">
        <v>0</v>
      </c>
      <c r="AW90" s="1767">
        <v>0</v>
      </c>
      <c r="AX90" s="1767">
        <v>0</v>
      </c>
      <c r="AY90" s="1767">
        <v>0</v>
      </c>
      <c r="AZ90" s="1767">
        <v>0</v>
      </c>
      <c r="BA90" s="1767">
        <v>0</v>
      </c>
      <c r="BB90" s="1767">
        <v>0</v>
      </c>
      <c r="BC90" s="1767">
        <v>0</v>
      </c>
      <c r="BD90" s="1767">
        <v>0</v>
      </c>
      <c r="BE90" s="1767">
        <v>0</v>
      </c>
      <c r="BF90" s="1767">
        <v>0</v>
      </c>
      <c r="BG90" s="1767">
        <v>0</v>
      </c>
      <c r="BH90" s="1767">
        <v>0</v>
      </c>
      <c r="BI90" s="1767">
        <v>0</v>
      </c>
      <c r="BJ90" s="1767">
        <v>0</v>
      </c>
      <c r="BK90" s="1767">
        <v>0</v>
      </c>
      <c r="BL90" s="1767">
        <v>0</v>
      </c>
      <c r="BM90" s="1767">
        <v>0</v>
      </c>
      <c r="BN90" s="1767">
        <v>0</v>
      </c>
      <c r="BO90" s="1767">
        <v>0</v>
      </c>
      <c r="BP90" s="1767">
        <v>0</v>
      </c>
      <c r="BQ90" s="1767">
        <v>0</v>
      </c>
      <c r="BR90" s="1767">
        <v>0</v>
      </c>
      <c r="BS90" s="1767">
        <v>0</v>
      </c>
      <c r="BT90" s="1767">
        <v>0</v>
      </c>
      <c r="BU90" s="1767">
        <v>0</v>
      </c>
      <c r="BV90" s="1767">
        <v>0</v>
      </c>
      <c r="BW90" s="1767">
        <v>0</v>
      </c>
      <c r="BX90" s="1767">
        <v>0</v>
      </c>
      <c r="BY90" s="1767">
        <v>0</v>
      </c>
      <c r="BZ90" s="1767">
        <v>0</v>
      </c>
      <c r="CA90" s="1767">
        <v>0</v>
      </c>
      <c r="CB90" s="1767">
        <v>0</v>
      </c>
      <c r="CC90" s="1767">
        <v>0</v>
      </c>
      <c r="CD90" s="1767">
        <v>0</v>
      </c>
      <c r="CE90" s="1767">
        <v>0</v>
      </c>
      <c r="CF90" s="1767">
        <v>0</v>
      </c>
      <c r="CG90" s="1767">
        <v>0</v>
      </c>
      <c r="CH90" s="1767">
        <v>0</v>
      </c>
      <c r="CI90" s="1767">
        <v>0</v>
      </c>
      <c r="CJ90" s="1767">
        <v>0</v>
      </c>
      <c r="CK90" s="1767">
        <v>0</v>
      </c>
      <c r="CL90" s="1767">
        <v>0</v>
      </c>
      <c r="CM90" s="1767">
        <v>0</v>
      </c>
      <c r="CN90" s="1767">
        <v>0</v>
      </c>
      <c r="CO90" s="1767">
        <v>0</v>
      </c>
      <c r="CP90" s="1767">
        <v>0</v>
      </c>
    </row>
    <row r="91" spans="1:94" ht="15" customHeight="1" x14ac:dyDescent="0.2">
      <c r="A91" s="1847"/>
      <c r="B91" s="1834"/>
      <c r="C91" s="663" t="s">
        <v>634</v>
      </c>
      <c r="D91" s="936"/>
      <c r="E91" s="1837"/>
      <c r="F91" s="1225"/>
      <c r="G91" s="1767">
        <v>0</v>
      </c>
      <c r="H91" s="1767">
        <v>0</v>
      </c>
      <c r="I91" s="1767">
        <v>0</v>
      </c>
      <c r="J91" s="1767">
        <v>0</v>
      </c>
      <c r="K91" s="1767">
        <v>0</v>
      </c>
      <c r="L91" s="1767">
        <v>0</v>
      </c>
      <c r="M91" s="1767">
        <v>0</v>
      </c>
      <c r="N91" s="1767">
        <v>0</v>
      </c>
      <c r="O91" s="1767">
        <v>0</v>
      </c>
      <c r="P91" s="1767">
        <v>0</v>
      </c>
      <c r="Q91" s="1767">
        <v>0</v>
      </c>
      <c r="R91" s="1767">
        <v>0</v>
      </c>
      <c r="S91" s="1767">
        <v>0</v>
      </c>
      <c r="T91" s="1767">
        <v>0</v>
      </c>
      <c r="U91" s="1767">
        <v>0</v>
      </c>
      <c r="V91" s="1767">
        <v>0</v>
      </c>
      <c r="W91" s="1767">
        <v>0</v>
      </c>
      <c r="X91" s="1767">
        <v>0</v>
      </c>
      <c r="Y91" s="1767">
        <v>0</v>
      </c>
      <c r="Z91" s="1767">
        <v>0</v>
      </c>
      <c r="AA91" s="1767">
        <v>0</v>
      </c>
      <c r="AB91" s="1767">
        <v>0</v>
      </c>
      <c r="AC91" s="1767">
        <v>0</v>
      </c>
      <c r="AD91" s="1767">
        <v>0</v>
      </c>
      <c r="AE91" s="1767">
        <v>0</v>
      </c>
      <c r="AF91" s="1767">
        <v>0</v>
      </c>
      <c r="AG91" s="1767">
        <v>0</v>
      </c>
      <c r="AH91" s="1767">
        <v>0</v>
      </c>
      <c r="AI91" s="1767">
        <v>0</v>
      </c>
      <c r="AJ91" s="1767">
        <v>0</v>
      </c>
      <c r="AK91" s="1767">
        <v>0</v>
      </c>
      <c r="AL91" s="1767">
        <v>0</v>
      </c>
      <c r="AM91" s="1767">
        <v>0</v>
      </c>
      <c r="AN91" s="1767">
        <v>0</v>
      </c>
      <c r="AO91" s="1767">
        <v>0</v>
      </c>
      <c r="AP91" s="1767">
        <v>0</v>
      </c>
      <c r="AQ91" s="1767">
        <v>0</v>
      </c>
      <c r="AR91" s="1767">
        <v>0</v>
      </c>
      <c r="AS91" s="1767">
        <v>0</v>
      </c>
      <c r="AT91" s="1767">
        <v>0</v>
      </c>
      <c r="AU91" s="1767">
        <v>0</v>
      </c>
      <c r="AV91" s="1767">
        <v>0</v>
      </c>
      <c r="AW91" s="1767">
        <v>0</v>
      </c>
      <c r="AX91" s="1767">
        <v>0</v>
      </c>
      <c r="AY91" s="1767">
        <v>0</v>
      </c>
      <c r="AZ91" s="1767">
        <v>0</v>
      </c>
      <c r="BA91" s="1767">
        <v>0</v>
      </c>
      <c r="BB91" s="1767">
        <v>0</v>
      </c>
      <c r="BC91" s="1767">
        <v>0</v>
      </c>
      <c r="BD91" s="1767">
        <v>0</v>
      </c>
      <c r="BE91" s="1767">
        <v>0</v>
      </c>
      <c r="BF91" s="1767">
        <v>0</v>
      </c>
      <c r="BG91" s="1767">
        <v>0</v>
      </c>
      <c r="BH91" s="1767">
        <v>0</v>
      </c>
      <c r="BI91" s="1767">
        <v>0</v>
      </c>
      <c r="BJ91" s="1767">
        <v>0</v>
      </c>
      <c r="BK91" s="1767">
        <v>0</v>
      </c>
      <c r="BL91" s="1767">
        <v>0</v>
      </c>
      <c r="BM91" s="1767">
        <v>0</v>
      </c>
      <c r="BN91" s="1767">
        <v>0</v>
      </c>
      <c r="BO91" s="1767">
        <v>0</v>
      </c>
      <c r="BP91" s="1767">
        <v>0</v>
      </c>
      <c r="BQ91" s="1767">
        <v>0</v>
      </c>
      <c r="BR91" s="1767">
        <v>0</v>
      </c>
      <c r="BS91" s="1767">
        <v>0</v>
      </c>
      <c r="BT91" s="1767">
        <v>0</v>
      </c>
      <c r="BU91" s="1767">
        <v>0</v>
      </c>
      <c r="BV91" s="1767">
        <v>0</v>
      </c>
      <c r="BW91" s="1767">
        <v>0</v>
      </c>
      <c r="BX91" s="1767">
        <v>0</v>
      </c>
      <c r="BY91" s="1767">
        <v>0</v>
      </c>
      <c r="BZ91" s="1767">
        <v>0</v>
      </c>
      <c r="CA91" s="1767">
        <v>0</v>
      </c>
      <c r="CB91" s="1767">
        <v>0</v>
      </c>
      <c r="CC91" s="1767">
        <v>0</v>
      </c>
      <c r="CD91" s="1767">
        <v>0</v>
      </c>
      <c r="CE91" s="1767">
        <v>0</v>
      </c>
      <c r="CF91" s="1767">
        <v>0</v>
      </c>
      <c r="CG91" s="1767">
        <v>0</v>
      </c>
      <c r="CH91" s="1767">
        <v>0</v>
      </c>
      <c r="CI91" s="1767">
        <v>0</v>
      </c>
      <c r="CJ91" s="1767">
        <v>0</v>
      </c>
      <c r="CK91" s="1767">
        <v>0</v>
      </c>
      <c r="CL91" s="1767">
        <v>0</v>
      </c>
      <c r="CM91" s="1767">
        <v>0</v>
      </c>
      <c r="CN91" s="1767">
        <v>0</v>
      </c>
      <c r="CO91" s="1767">
        <v>0</v>
      </c>
      <c r="CP91" s="1767">
        <v>0</v>
      </c>
    </row>
    <row r="92" spans="1:94" ht="15" customHeight="1" x14ac:dyDescent="0.2">
      <c r="A92" s="1847"/>
      <c r="B92" s="1834"/>
      <c r="C92" s="663" t="s">
        <v>635</v>
      </c>
      <c r="D92" s="936"/>
      <c r="E92" s="1837"/>
      <c r="F92" s="1225"/>
      <c r="G92" s="1767">
        <v>0</v>
      </c>
      <c r="H92" s="1767">
        <v>0</v>
      </c>
      <c r="I92" s="1767">
        <v>0</v>
      </c>
      <c r="J92" s="1767">
        <v>0</v>
      </c>
      <c r="K92" s="1767">
        <v>0</v>
      </c>
      <c r="L92" s="1767">
        <v>0</v>
      </c>
      <c r="M92" s="1767">
        <v>0</v>
      </c>
      <c r="N92" s="1767">
        <v>0</v>
      </c>
      <c r="O92" s="1767">
        <v>0</v>
      </c>
      <c r="P92" s="1767">
        <v>0</v>
      </c>
      <c r="Q92" s="1767">
        <v>0</v>
      </c>
      <c r="R92" s="1767">
        <v>0</v>
      </c>
      <c r="S92" s="1767">
        <v>0</v>
      </c>
      <c r="T92" s="1767">
        <v>0</v>
      </c>
      <c r="U92" s="1767">
        <v>0</v>
      </c>
      <c r="V92" s="1767">
        <v>0</v>
      </c>
      <c r="W92" s="1767">
        <v>0</v>
      </c>
      <c r="X92" s="1767">
        <v>0</v>
      </c>
      <c r="Y92" s="1767">
        <v>0</v>
      </c>
      <c r="Z92" s="1767">
        <v>0</v>
      </c>
      <c r="AA92" s="1767">
        <v>0</v>
      </c>
      <c r="AB92" s="1767">
        <v>0</v>
      </c>
      <c r="AC92" s="1767">
        <v>0</v>
      </c>
      <c r="AD92" s="1767">
        <v>0</v>
      </c>
      <c r="AE92" s="1767">
        <v>0</v>
      </c>
      <c r="AF92" s="1767">
        <v>0</v>
      </c>
      <c r="AG92" s="1767">
        <v>0</v>
      </c>
      <c r="AH92" s="1767">
        <v>0</v>
      </c>
      <c r="AI92" s="1767">
        <v>0</v>
      </c>
      <c r="AJ92" s="1767">
        <v>0</v>
      </c>
      <c r="AK92" s="1767">
        <v>0</v>
      </c>
      <c r="AL92" s="1767">
        <v>0</v>
      </c>
      <c r="AM92" s="1767">
        <v>0</v>
      </c>
      <c r="AN92" s="1767">
        <v>0</v>
      </c>
      <c r="AO92" s="1767">
        <v>0</v>
      </c>
      <c r="AP92" s="1767">
        <v>0</v>
      </c>
      <c r="AQ92" s="1767">
        <v>0</v>
      </c>
      <c r="AR92" s="1767">
        <v>0</v>
      </c>
      <c r="AS92" s="1767">
        <v>0</v>
      </c>
      <c r="AT92" s="1767">
        <v>0</v>
      </c>
      <c r="AU92" s="1767">
        <v>0</v>
      </c>
      <c r="AV92" s="1767">
        <v>0</v>
      </c>
      <c r="AW92" s="1767">
        <v>0</v>
      </c>
      <c r="AX92" s="1767">
        <v>0</v>
      </c>
      <c r="AY92" s="1767">
        <v>0</v>
      </c>
      <c r="AZ92" s="1767">
        <v>0</v>
      </c>
      <c r="BA92" s="1767">
        <v>0</v>
      </c>
      <c r="BB92" s="1767">
        <v>0</v>
      </c>
      <c r="BC92" s="1767">
        <v>0</v>
      </c>
      <c r="BD92" s="1767">
        <v>0</v>
      </c>
      <c r="BE92" s="1767">
        <v>0</v>
      </c>
      <c r="BF92" s="1767">
        <v>0</v>
      </c>
      <c r="BG92" s="1767">
        <v>0</v>
      </c>
      <c r="BH92" s="1767">
        <v>0</v>
      </c>
      <c r="BI92" s="1767">
        <v>0</v>
      </c>
      <c r="BJ92" s="1767">
        <v>0</v>
      </c>
      <c r="BK92" s="1767">
        <v>0</v>
      </c>
      <c r="BL92" s="1767">
        <v>0</v>
      </c>
      <c r="BM92" s="1767">
        <v>0</v>
      </c>
      <c r="BN92" s="1767">
        <v>0</v>
      </c>
      <c r="BO92" s="1767">
        <v>0</v>
      </c>
      <c r="BP92" s="1767">
        <v>0</v>
      </c>
      <c r="BQ92" s="1767">
        <v>0</v>
      </c>
      <c r="BR92" s="1767">
        <v>0</v>
      </c>
      <c r="BS92" s="1767">
        <v>0</v>
      </c>
      <c r="BT92" s="1767">
        <v>0</v>
      </c>
      <c r="BU92" s="1767">
        <v>0</v>
      </c>
      <c r="BV92" s="1767">
        <v>0</v>
      </c>
      <c r="BW92" s="1767">
        <v>0</v>
      </c>
      <c r="BX92" s="1767">
        <v>0</v>
      </c>
      <c r="BY92" s="1767">
        <v>0</v>
      </c>
      <c r="BZ92" s="1767">
        <v>0</v>
      </c>
      <c r="CA92" s="1767">
        <v>0</v>
      </c>
      <c r="CB92" s="1767">
        <v>0</v>
      </c>
      <c r="CC92" s="1767">
        <v>0</v>
      </c>
      <c r="CD92" s="1767">
        <v>0</v>
      </c>
      <c r="CE92" s="1767">
        <v>0</v>
      </c>
      <c r="CF92" s="1767">
        <v>0</v>
      </c>
      <c r="CG92" s="1767">
        <v>0</v>
      </c>
      <c r="CH92" s="1767">
        <v>0</v>
      </c>
      <c r="CI92" s="1767">
        <v>0</v>
      </c>
      <c r="CJ92" s="1767">
        <v>0</v>
      </c>
      <c r="CK92" s="1767">
        <v>0</v>
      </c>
      <c r="CL92" s="1767">
        <v>0</v>
      </c>
      <c r="CM92" s="1767">
        <v>0</v>
      </c>
      <c r="CN92" s="1767">
        <v>0</v>
      </c>
      <c r="CO92" s="1767">
        <v>0</v>
      </c>
      <c r="CP92" s="1767">
        <v>0</v>
      </c>
    </row>
    <row r="93" spans="1:94" ht="15" customHeight="1" x14ac:dyDescent="0.2">
      <c r="A93" s="1847"/>
      <c r="B93" s="1834"/>
      <c r="C93" s="663" t="s">
        <v>636</v>
      </c>
      <c r="D93" s="936"/>
      <c r="E93" s="1837"/>
      <c r="F93" s="1225"/>
      <c r="G93" s="1767">
        <v>0</v>
      </c>
      <c r="H93" s="1767">
        <v>0</v>
      </c>
      <c r="I93" s="1767">
        <v>0</v>
      </c>
      <c r="J93" s="1767">
        <v>0</v>
      </c>
      <c r="K93" s="1767">
        <v>0</v>
      </c>
      <c r="L93" s="1767">
        <v>0</v>
      </c>
      <c r="M93" s="1767">
        <v>0</v>
      </c>
      <c r="N93" s="1767">
        <v>0</v>
      </c>
      <c r="O93" s="1767">
        <v>0</v>
      </c>
      <c r="P93" s="1767">
        <v>0</v>
      </c>
      <c r="Q93" s="1767">
        <v>0</v>
      </c>
      <c r="R93" s="1767">
        <v>0</v>
      </c>
      <c r="S93" s="1767">
        <v>0</v>
      </c>
      <c r="T93" s="1767">
        <v>0</v>
      </c>
      <c r="U93" s="1767">
        <v>0</v>
      </c>
      <c r="V93" s="1767">
        <v>0</v>
      </c>
      <c r="W93" s="1767">
        <v>0</v>
      </c>
      <c r="X93" s="1767">
        <v>0</v>
      </c>
      <c r="Y93" s="1767">
        <v>0</v>
      </c>
      <c r="Z93" s="1767">
        <v>0</v>
      </c>
      <c r="AA93" s="1767">
        <v>0</v>
      </c>
      <c r="AB93" s="1767">
        <v>0</v>
      </c>
      <c r="AC93" s="1767">
        <v>0</v>
      </c>
      <c r="AD93" s="1767">
        <v>0</v>
      </c>
      <c r="AE93" s="1767">
        <v>0</v>
      </c>
      <c r="AF93" s="1767">
        <v>0</v>
      </c>
      <c r="AG93" s="1767">
        <v>0</v>
      </c>
      <c r="AH93" s="1767">
        <v>0</v>
      </c>
      <c r="AI93" s="1767">
        <v>0</v>
      </c>
      <c r="AJ93" s="1767">
        <v>0</v>
      </c>
      <c r="AK93" s="1767">
        <v>0</v>
      </c>
      <c r="AL93" s="1767">
        <v>0</v>
      </c>
      <c r="AM93" s="1767">
        <v>0</v>
      </c>
      <c r="AN93" s="1767">
        <v>0</v>
      </c>
      <c r="AO93" s="1767">
        <v>0</v>
      </c>
      <c r="AP93" s="1767">
        <v>0</v>
      </c>
      <c r="AQ93" s="1767">
        <v>0</v>
      </c>
      <c r="AR93" s="1767">
        <v>0</v>
      </c>
      <c r="AS93" s="1767">
        <v>0</v>
      </c>
      <c r="AT93" s="1767">
        <v>0</v>
      </c>
      <c r="AU93" s="1767">
        <v>0</v>
      </c>
      <c r="AV93" s="1767">
        <v>0</v>
      </c>
      <c r="AW93" s="1767">
        <v>0</v>
      </c>
      <c r="AX93" s="1767">
        <v>0</v>
      </c>
      <c r="AY93" s="1767">
        <v>0</v>
      </c>
      <c r="AZ93" s="1767">
        <v>0</v>
      </c>
      <c r="BA93" s="1767">
        <v>0</v>
      </c>
      <c r="BB93" s="1767">
        <v>0</v>
      </c>
      <c r="BC93" s="1767">
        <v>0</v>
      </c>
      <c r="BD93" s="1767">
        <v>0</v>
      </c>
      <c r="BE93" s="1767">
        <v>0</v>
      </c>
      <c r="BF93" s="1767">
        <v>0</v>
      </c>
      <c r="BG93" s="1767">
        <v>0</v>
      </c>
      <c r="BH93" s="1767">
        <v>0</v>
      </c>
      <c r="BI93" s="1767">
        <v>0</v>
      </c>
      <c r="BJ93" s="1767">
        <v>0</v>
      </c>
      <c r="BK93" s="1767">
        <v>0</v>
      </c>
      <c r="BL93" s="1767">
        <v>0</v>
      </c>
      <c r="BM93" s="1767">
        <v>0</v>
      </c>
      <c r="BN93" s="1767">
        <v>0</v>
      </c>
      <c r="BO93" s="1767">
        <v>0</v>
      </c>
      <c r="BP93" s="1767">
        <v>0</v>
      </c>
      <c r="BQ93" s="1767">
        <v>0</v>
      </c>
      <c r="BR93" s="1767">
        <v>0</v>
      </c>
      <c r="BS93" s="1767">
        <v>0</v>
      </c>
      <c r="BT93" s="1767">
        <v>0</v>
      </c>
      <c r="BU93" s="1767">
        <v>0</v>
      </c>
      <c r="BV93" s="1767">
        <v>0</v>
      </c>
      <c r="BW93" s="1767">
        <v>0</v>
      </c>
      <c r="BX93" s="1767">
        <v>0</v>
      </c>
      <c r="BY93" s="1767">
        <v>0</v>
      </c>
      <c r="BZ93" s="1767">
        <v>0</v>
      </c>
      <c r="CA93" s="1767">
        <v>0</v>
      </c>
      <c r="CB93" s="1767">
        <v>0</v>
      </c>
      <c r="CC93" s="1767">
        <v>0</v>
      </c>
      <c r="CD93" s="1767">
        <v>0</v>
      </c>
      <c r="CE93" s="1767">
        <v>0</v>
      </c>
      <c r="CF93" s="1767">
        <v>0</v>
      </c>
      <c r="CG93" s="1767">
        <v>0</v>
      </c>
      <c r="CH93" s="1767">
        <v>0</v>
      </c>
      <c r="CI93" s="1767">
        <v>0</v>
      </c>
      <c r="CJ93" s="1767">
        <v>0</v>
      </c>
      <c r="CK93" s="1767">
        <v>0</v>
      </c>
      <c r="CL93" s="1767">
        <v>0</v>
      </c>
      <c r="CM93" s="1767">
        <v>0</v>
      </c>
      <c r="CN93" s="1767">
        <v>0</v>
      </c>
      <c r="CO93" s="1767">
        <v>0</v>
      </c>
      <c r="CP93" s="1767">
        <v>0</v>
      </c>
    </row>
    <row r="94" spans="1:94" ht="15" customHeight="1" thickBot="1" x14ac:dyDescent="0.25">
      <c r="A94" s="1848"/>
      <c r="B94" s="1835"/>
      <c r="C94" s="650" t="s">
        <v>637</v>
      </c>
      <c r="D94" s="950"/>
      <c r="E94" s="1838"/>
      <c r="F94" s="1225"/>
      <c r="G94" s="1767">
        <v>0</v>
      </c>
      <c r="H94" s="1767">
        <v>0</v>
      </c>
      <c r="I94" s="1767">
        <v>0</v>
      </c>
      <c r="J94" s="1767">
        <v>0</v>
      </c>
      <c r="K94" s="1767">
        <v>0</v>
      </c>
      <c r="L94" s="1767">
        <v>0</v>
      </c>
      <c r="M94" s="1767">
        <v>0</v>
      </c>
      <c r="N94" s="1767">
        <v>0</v>
      </c>
      <c r="O94" s="1767">
        <v>0</v>
      </c>
      <c r="P94" s="1767">
        <v>0</v>
      </c>
      <c r="Q94" s="1767">
        <v>0</v>
      </c>
      <c r="R94" s="1767">
        <v>0</v>
      </c>
      <c r="S94" s="1767">
        <v>0</v>
      </c>
      <c r="T94" s="1767">
        <v>0</v>
      </c>
      <c r="U94" s="1767">
        <v>0</v>
      </c>
      <c r="V94" s="1767">
        <v>0</v>
      </c>
      <c r="W94" s="1767">
        <v>0</v>
      </c>
      <c r="X94" s="1767">
        <v>0</v>
      </c>
      <c r="Y94" s="1767">
        <v>0</v>
      </c>
      <c r="Z94" s="1767">
        <v>0</v>
      </c>
      <c r="AA94" s="1767">
        <v>0</v>
      </c>
      <c r="AB94" s="1767">
        <v>0</v>
      </c>
      <c r="AC94" s="1767">
        <v>0</v>
      </c>
      <c r="AD94" s="1767">
        <v>0</v>
      </c>
      <c r="AE94" s="1767">
        <v>0</v>
      </c>
      <c r="AF94" s="1767">
        <v>0</v>
      </c>
      <c r="AG94" s="1767">
        <v>0</v>
      </c>
      <c r="AH94" s="1767">
        <v>0</v>
      </c>
      <c r="AI94" s="1767">
        <v>0</v>
      </c>
      <c r="AJ94" s="1767">
        <v>0</v>
      </c>
      <c r="AK94" s="1767">
        <v>0</v>
      </c>
      <c r="AL94" s="1767">
        <v>0</v>
      </c>
      <c r="AM94" s="1767">
        <v>0</v>
      </c>
      <c r="AN94" s="1767">
        <v>0</v>
      </c>
      <c r="AO94" s="1767">
        <v>0</v>
      </c>
      <c r="AP94" s="1767">
        <v>0</v>
      </c>
      <c r="AQ94" s="1767">
        <v>0</v>
      </c>
      <c r="AR94" s="1767">
        <v>0</v>
      </c>
      <c r="AS94" s="1767">
        <v>0</v>
      </c>
      <c r="AT94" s="1767">
        <v>0</v>
      </c>
      <c r="AU94" s="1767">
        <v>0</v>
      </c>
      <c r="AV94" s="1767">
        <v>0</v>
      </c>
      <c r="AW94" s="1767">
        <v>0</v>
      </c>
      <c r="AX94" s="1767">
        <v>0</v>
      </c>
      <c r="AY94" s="1767">
        <v>0</v>
      </c>
      <c r="AZ94" s="1767">
        <v>0</v>
      </c>
      <c r="BA94" s="1767">
        <v>0</v>
      </c>
      <c r="BB94" s="1767">
        <v>0</v>
      </c>
      <c r="BC94" s="1767">
        <v>0</v>
      </c>
      <c r="BD94" s="1767">
        <v>0</v>
      </c>
      <c r="BE94" s="1767">
        <v>0</v>
      </c>
      <c r="BF94" s="1767">
        <v>0</v>
      </c>
      <c r="BG94" s="1767">
        <v>0</v>
      </c>
      <c r="BH94" s="1767">
        <v>0</v>
      </c>
      <c r="BI94" s="1767">
        <v>0</v>
      </c>
      <c r="BJ94" s="1767">
        <v>0</v>
      </c>
      <c r="BK94" s="1767">
        <v>0</v>
      </c>
      <c r="BL94" s="1767">
        <v>0</v>
      </c>
      <c r="BM94" s="1767">
        <v>0</v>
      </c>
      <c r="BN94" s="1767">
        <v>0</v>
      </c>
      <c r="BO94" s="1767">
        <v>0</v>
      </c>
      <c r="BP94" s="1767">
        <v>0</v>
      </c>
      <c r="BQ94" s="1767">
        <v>0</v>
      </c>
      <c r="BR94" s="1767">
        <v>0</v>
      </c>
      <c r="BS94" s="1767">
        <v>0</v>
      </c>
      <c r="BT94" s="1767">
        <v>0</v>
      </c>
      <c r="BU94" s="1767">
        <v>0</v>
      </c>
      <c r="BV94" s="1767">
        <v>0</v>
      </c>
      <c r="BW94" s="1767">
        <v>0</v>
      </c>
      <c r="BX94" s="1767">
        <v>0</v>
      </c>
      <c r="BY94" s="1767">
        <v>0</v>
      </c>
      <c r="BZ94" s="1767">
        <v>0</v>
      </c>
      <c r="CA94" s="1767">
        <v>0</v>
      </c>
      <c r="CB94" s="1767">
        <v>0</v>
      </c>
      <c r="CC94" s="1767">
        <v>0</v>
      </c>
      <c r="CD94" s="1767">
        <v>0</v>
      </c>
      <c r="CE94" s="1767">
        <v>0</v>
      </c>
      <c r="CF94" s="1767">
        <v>0</v>
      </c>
      <c r="CG94" s="1767">
        <v>0</v>
      </c>
      <c r="CH94" s="1767">
        <v>0</v>
      </c>
      <c r="CI94" s="1767">
        <v>0</v>
      </c>
      <c r="CJ94" s="1767">
        <v>0</v>
      </c>
      <c r="CK94" s="1767">
        <v>0</v>
      </c>
      <c r="CL94" s="1767">
        <v>0</v>
      </c>
      <c r="CM94" s="1767">
        <v>0</v>
      </c>
      <c r="CN94" s="1767">
        <v>0</v>
      </c>
      <c r="CO94" s="1767">
        <v>0</v>
      </c>
      <c r="CP94" s="1767">
        <v>0</v>
      </c>
    </row>
    <row r="95" spans="1:94" ht="21" customHeight="1" thickBot="1" x14ac:dyDescent="0.25">
      <c r="A95" s="1856" t="s">
        <v>1292</v>
      </c>
      <c r="B95" s="1856" t="s">
        <v>430</v>
      </c>
      <c r="C95" s="1778" t="s">
        <v>2515</v>
      </c>
      <c r="D95" s="946"/>
      <c r="E95" s="1870" t="s">
        <v>2315</v>
      </c>
      <c r="F95" s="1225"/>
      <c r="G95" s="1742"/>
      <c r="H95" s="1742"/>
      <c r="I95" s="1742"/>
      <c r="J95" s="1742"/>
      <c r="K95" s="1742"/>
      <c r="L95" s="1742"/>
      <c r="M95" s="1742"/>
      <c r="N95" s="1742"/>
      <c r="O95" s="1742"/>
      <c r="P95" s="1742"/>
      <c r="Q95" s="1742"/>
      <c r="R95" s="1742"/>
      <c r="S95" s="1742"/>
      <c r="T95" s="1742"/>
      <c r="U95" s="1742"/>
      <c r="V95" s="1742"/>
      <c r="W95" s="1742"/>
      <c r="X95" s="1742"/>
      <c r="Y95" s="1742"/>
      <c r="Z95" s="1742"/>
      <c r="AA95" s="1742"/>
      <c r="AB95" s="1742"/>
      <c r="AC95" s="1742"/>
      <c r="AD95" s="1742"/>
      <c r="AE95" s="1742"/>
      <c r="AF95" s="1742"/>
      <c r="AG95" s="1742"/>
      <c r="AH95" s="1742"/>
      <c r="AI95" s="1742"/>
      <c r="AJ95" s="1742"/>
      <c r="AK95" s="1742"/>
      <c r="AL95" s="1742"/>
      <c r="AM95" s="1742"/>
      <c r="AN95" s="1742"/>
      <c r="AO95" s="1742"/>
      <c r="AP95" s="1742"/>
      <c r="AQ95" s="1742"/>
      <c r="AR95" s="1742"/>
      <c r="AS95" s="1742"/>
      <c r="AT95" s="1742"/>
      <c r="AU95" s="1742"/>
      <c r="AV95" s="1742"/>
      <c r="AW95" s="1742"/>
      <c r="AX95" s="1742"/>
      <c r="AY95" s="1742"/>
      <c r="AZ95" s="1742"/>
      <c r="BA95" s="1742"/>
      <c r="BB95" s="1742"/>
      <c r="BC95" s="1742"/>
      <c r="BD95" s="1742"/>
      <c r="BE95" s="1742"/>
      <c r="BF95" s="1742"/>
      <c r="BG95" s="1742"/>
      <c r="BH95" s="1742"/>
      <c r="BI95" s="1742"/>
      <c r="BJ95" s="1742"/>
      <c r="BK95" s="1742"/>
      <c r="BL95" s="1742"/>
      <c r="BM95" s="1742"/>
      <c r="BN95" s="1742"/>
      <c r="BO95" s="1742"/>
      <c r="BP95" s="1742"/>
      <c r="BQ95" s="1742"/>
      <c r="BR95" s="1742"/>
      <c r="BS95" s="1742"/>
      <c r="BT95" s="1742"/>
      <c r="BU95" s="1742"/>
      <c r="BV95" s="1742"/>
      <c r="BW95" s="1742"/>
      <c r="BX95" s="1742"/>
      <c r="BY95" s="1742"/>
      <c r="BZ95" s="1742"/>
      <c r="CA95" s="1742"/>
      <c r="CB95" s="1742"/>
      <c r="CC95" s="1742"/>
      <c r="CD95" s="1742"/>
      <c r="CE95" s="1742"/>
      <c r="CF95" s="1742"/>
      <c r="CG95" s="1742"/>
      <c r="CH95" s="1742"/>
      <c r="CI95" s="1742"/>
      <c r="CJ95" s="1742"/>
      <c r="CK95" s="1742"/>
      <c r="CL95" s="1742"/>
      <c r="CM95" s="1742"/>
      <c r="CN95" s="1742"/>
      <c r="CO95" s="1742"/>
      <c r="CP95" s="1742"/>
    </row>
    <row r="96" spans="1:94" ht="15" customHeight="1" x14ac:dyDescent="0.2">
      <c r="A96" s="1856"/>
      <c r="B96" s="1856"/>
      <c r="C96" s="660" t="s">
        <v>2100</v>
      </c>
      <c r="D96" s="936"/>
      <c r="E96" s="1874"/>
      <c r="F96" s="1225"/>
      <c r="G96" s="1767">
        <v>0</v>
      </c>
      <c r="H96" s="1767">
        <v>0</v>
      </c>
      <c r="I96" s="1767">
        <v>0</v>
      </c>
      <c r="J96" s="1767">
        <v>0</v>
      </c>
      <c r="K96" s="1767">
        <v>0</v>
      </c>
      <c r="L96" s="1767">
        <v>0</v>
      </c>
      <c r="M96" s="1767">
        <v>0</v>
      </c>
      <c r="N96" s="1767">
        <v>0</v>
      </c>
      <c r="O96" s="1767">
        <v>0</v>
      </c>
      <c r="P96" s="1767">
        <v>0</v>
      </c>
      <c r="Q96" s="1767">
        <v>0</v>
      </c>
      <c r="R96" s="1767">
        <v>0</v>
      </c>
      <c r="S96" s="1767">
        <v>0</v>
      </c>
      <c r="T96" s="1767">
        <v>0</v>
      </c>
      <c r="U96" s="1767">
        <v>0</v>
      </c>
      <c r="V96" s="1767">
        <v>0</v>
      </c>
      <c r="W96" s="1767">
        <v>0</v>
      </c>
      <c r="X96" s="1767">
        <v>0</v>
      </c>
      <c r="Y96" s="1767">
        <v>0</v>
      </c>
      <c r="Z96" s="1767">
        <v>0</v>
      </c>
      <c r="AA96" s="1767">
        <v>0</v>
      </c>
      <c r="AB96" s="1767">
        <v>0</v>
      </c>
      <c r="AC96" s="1767">
        <v>0</v>
      </c>
      <c r="AD96" s="1767">
        <v>0</v>
      </c>
      <c r="AE96" s="1767">
        <v>0</v>
      </c>
      <c r="AF96" s="1767">
        <v>0</v>
      </c>
      <c r="AG96" s="1767">
        <v>0</v>
      </c>
      <c r="AH96" s="1767">
        <v>0</v>
      </c>
      <c r="AI96" s="1767">
        <v>0</v>
      </c>
      <c r="AJ96" s="1767">
        <v>0</v>
      </c>
      <c r="AK96" s="1767">
        <v>0</v>
      </c>
      <c r="AL96" s="1767">
        <v>0</v>
      </c>
      <c r="AM96" s="1767">
        <v>0</v>
      </c>
      <c r="AN96" s="1767">
        <v>0</v>
      </c>
      <c r="AO96" s="1767">
        <v>0</v>
      </c>
      <c r="AP96" s="1767">
        <v>0</v>
      </c>
      <c r="AQ96" s="1767">
        <v>0</v>
      </c>
      <c r="AR96" s="1767">
        <v>0</v>
      </c>
      <c r="AS96" s="1767">
        <v>0</v>
      </c>
      <c r="AT96" s="1767">
        <v>0</v>
      </c>
      <c r="AU96" s="1767">
        <v>0</v>
      </c>
      <c r="AV96" s="1767">
        <v>0</v>
      </c>
      <c r="AW96" s="1767">
        <v>0</v>
      </c>
      <c r="AX96" s="1767">
        <v>0</v>
      </c>
      <c r="AY96" s="1767">
        <v>0</v>
      </c>
      <c r="AZ96" s="1767">
        <v>0</v>
      </c>
      <c r="BA96" s="1767">
        <v>0</v>
      </c>
      <c r="BB96" s="1767">
        <v>0</v>
      </c>
      <c r="BC96" s="1767">
        <v>0</v>
      </c>
      <c r="BD96" s="1767">
        <v>0</v>
      </c>
      <c r="BE96" s="1767">
        <v>0</v>
      </c>
      <c r="BF96" s="1767">
        <v>0</v>
      </c>
      <c r="BG96" s="1767">
        <v>0</v>
      </c>
      <c r="BH96" s="1767">
        <v>0</v>
      </c>
      <c r="BI96" s="1767">
        <v>0</v>
      </c>
      <c r="BJ96" s="1767">
        <v>0</v>
      </c>
      <c r="BK96" s="1767">
        <v>0</v>
      </c>
      <c r="BL96" s="1767">
        <v>0</v>
      </c>
      <c r="BM96" s="1767">
        <v>0</v>
      </c>
      <c r="BN96" s="1767">
        <v>0</v>
      </c>
      <c r="BO96" s="1767">
        <v>0</v>
      </c>
      <c r="BP96" s="1767">
        <v>0</v>
      </c>
      <c r="BQ96" s="1767">
        <v>0</v>
      </c>
      <c r="BR96" s="1767">
        <v>0</v>
      </c>
      <c r="BS96" s="1767">
        <v>0</v>
      </c>
      <c r="BT96" s="1767">
        <v>0</v>
      </c>
      <c r="BU96" s="1767">
        <v>0</v>
      </c>
      <c r="BV96" s="1767">
        <v>0</v>
      </c>
      <c r="BW96" s="1767">
        <v>0</v>
      </c>
      <c r="BX96" s="1767">
        <v>0</v>
      </c>
      <c r="BY96" s="1767">
        <v>0</v>
      </c>
      <c r="BZ96" s="1767">
        <v>0</v>
      </c>
      <c r="CA96" s="1767">
        <v>0</v>
      </c>
      <c r="CB96" s="1767">
        <v>0</v>
      </c>
      <c r="CC96" s="1767">
        <v>0</v>
      </c>
      <c r="CD96" s="1767">
        <v>0</v>
      </c>
      <c r="CE96" s="1767">
        <v>0</v>
      </c>
      <c r="CF96" s="1767">
        <v>0</v>
      </c>
      <c r="CG96" s="1767">
        <v>0</v>
      </c>
      <c r="CH96" s="1767">
        <v>0</v>
      </c>
      <c r="CI96" s="1767">
        <v>0</v>
      </c>
      <c r="CJ96" s="1767">
        <v>0</v>
      </c>
      <c r="CK96" s="1767">
        <v>0</v>
      </c>
      <c r="CL96" s="1767">
        <v>0</v>
      </c>
      <c r="CM96" s="1767">
        <v>0</v>
      </c>
      <c r="CN96" s="1767">
        <v>0</v>
      </c>
      <c r="CO96" s="1767">
        <v>0</v>
      </c>
      <c r="CP96" s="1767">
        <v>0</v>
      </c>
    </row>
    <row r="97" spans="1:94" ht="15" customHeight="1" x14ac:dyDescent="0.2">
      <c r="A97" s="1856"/>
      <c r="B97" s="1856"/>
      <c r="C97" s="653" t="s">
        <v>634</v>
      </c>
      <c r="D97" s="936"/>
      <c r="E97" s="1874"/>
      <c r="F97" s="1225"/>
      <c r="G97" s="1767">
        <v>0</v>
      </c>
      <c r="H97" s="1767">
        <v>0</v>
      </c>
      <c r="I97" s="1767">
        <v>0</v>
      </c>
      <c r="J97" s="1767">
        <v>0</v>
      </c>
      <c r="K97" s="1767">
        <v>0</v>
      </c>
      <c r="L97" s="1767">
        <v>0</v>
      </c>
      <c r="M97" s="1767">
        <v>0</v>
      </c>
      <c r="N97" s="1767">
        <v>0</v>
      </c>
      <c r="O97" s="1767">
        <v>0</v>
      </c>
      <c r="P97" s="1767">
        <v>0</v>
      </c>
      <c r="Q97" s="1767">
        <v>0</v>
      </c>
      <c r="R97" s="1767">
        <v>0</v>
      </c>
      <c r="S97" s="1767">
        <v>0</v>
      </c>
      <c r="T97" s="1767">
        <v>0</v>
      </c>
      <c r="U97" s="1767">
        <v>0</v>
      </c>
      <c r="V97" s="1767">
        <v>0</v>
      </c>
      <c r="W97" s="1767">
        <v>0</v>
      </c>
      <c r="X97" s="1767">
        <v>0</v>
      </c>
      <c r="Y97" s="1767">
        <v>0</v>
      </c>
      <c r="Z97" s="1767">
        <v>0</v>
      </c>
      <c r="AA97" s="1767">
        <v>0</v>
      </c>
      <c r="AB97" s="1767">
        <v>0</v>
      </c>
      <c r="AC97" s="1767">
        <v>0</v>
      </c>
      <c r="AD97" s="1767">
        <v>0</v>
      </c>
      <c r="AE97" s="1767">
        <v>0</v>
      </c>
      <c r="AF97" s="1767">
        <v>0</v>
      </c>
      <c r="AG97" s="1767">
        <v>0</v>
      </c>
      <c r="AH97" s="1767">
        <v>0</v>
      </c>
      <c r="AI97" s="1767">
        <v>0</v>
      </c>
      <c r="AJ97" s="1767">
        <v>0</v>
      </c>
      <c r="AK97" s="1767">
        <v>0</v>
      </c>
      <c r="AL97" s="1767">
        <v>0</v>
      </c>
      <c r="AM97" s="1767">
        <v>0</v>
      </c>
      <c r="AN97" s="1767">
        <v>0</v>
      </c>
      <c r="AO97" s="1767">
        <v>0</v>
      </c>
      <c r="AP97" s="1767">
        <v>0</v>
      </c>
      <c r="AQ97" s="1767">
        <v>0</v>
      </c>
      <c r="AR97" s="1767">
        <v>0</v>
      </c>
      <c r="AS97" s="1767">
        <v>0</v>
      </c>
      <c r="AT97" s="1767">
        <v>0</v>
      </c>
      <c r="AU97" s="1767">
        <v>0</v>
      </c>
      <c r="AV97" s="1767">
        <v>0</v>
      </c>
      <c r="AW97" s="1767">
        <v>0</v>
      </c>
      <c r="AX97" s="1767">
        <v>0</v>
      </c>
      <c r="AY97" s="1767">
        <v>0</v>
      </c>
      <c r="AZ97" s="1767">
        <v>0</v>
      </c>
      <c r="BA97" s="1767">
        <v>0</v>
      </c>
      <c r="BB97" s="1767">
        <v>0</v>
      </c>
      <c r="BC97" s="1767">
        <v>0</v>
      </c>
      <c r="BD97" s="1767">
        <v>0</v>
      </c>
      <c r="BE97" s="1767">
        <v>0</v>
      </c>
      <c r="BF97" s="1767">
        <v>0</v>
      </c>
      <c r="BG97" s="1767">
        <v>0</v>
      </c>
      <c r="BH97" s="1767">
        <v>0</v>
      </c>
      <c r="BI97" s="1767">
        <v>0</v>
      </c>
      <c r="BJ97" s="1767">
        <v>0</v>
      </c>
      <c r="BK97" s="1767">
        <v>0</v>
      </c>
      <c r="BL97" s="1767">
        <v>0</v>
      </c>
      <c r="BM97" s="1767">
        <v>0</v>
      </c>
      <c r="BN97" s="1767">
        <v>0</v>
      </c>
      <c r="BO97" s="1767">
        <v>0</v>
      </c>
      <c r="BP97" s="1767">
        <v>0</v>
      </c>
      <c r="BQ97" s="1767">
        <v>0</v>
      </c>
      <c r="BR97" s="1767">
        <v>0</v>
      </c>
      <c r="BS97" s="1767">
        <v>0</v>
      </c>
      <c r="BT97" s="1767">
        <v>0</v>
      </c>
      <c r="BU97" s="1767">
        <v>0</v>
      </c>
      <c r="BV97" s="1767">
        <v>0</v>
      </c>
      <c r="BW97" s="1767">
        <v>0</v>
      </c>
      <c r="BX97" s="1767">
        <v>0</v>
      </c>
      <c r="BY97" s="1767">
        <v>0</v>
      </c>
      <c r="BZ97" s="1767">
        <v>0</v>
      </c>
      <c r="CA97" s="1767">
        <v>0</v>
      </c>
      <c r="CB97" s="1767">
        <v>0</v>
      </c>
      <c r="CC97" s="1767">
        <v>0</v>
      </c>
      <c r="CD97" s="1767">
        <v>0</v>
      </c>
      <c r="CE97" s="1767">
        <v>0</v>
      </c>
      <c r="CF97" s="1767">
        <v>0</v>
      </c>
      <c r="CG97" s="1767">
        <v>0</v>
      </c>
      <c r="CH97" s="1767">
        <v>0</v>
      </c>
      <c r="CI97" s="1767">
        <v>0</v>
      </c>
      <c r="CJ97" s="1767">
        <v>0</v>
      </c>
      <c r="CK97" s="1767">
        <v>0</v>
      </c>
      <c r="CL97" s="1767">
        <v>0</v>
      </c>
      <c r="CM97" s="1767">
        <v>0</v>
      </c>
      <c r="CN97" s="1767">
        <v>0</v>
      </c>
      <c r="CO97" s="1767">
        <v>0</v>
      </c>
      <c r="CP97" s="1767">
        <v>0</v>
      </c>
    </row>
    <row r="98" spans="1:94" ht="15" customHeight="1" x14ac:dyDescent="0.2">
      <c r="A98" s="1856"/>
      <c r="B98" s="1856"/>
      <c r="C98" s="653" t="s">
        <v>635</v>
      </c>
      <c r="D98" s="936"/>
      <c r="E98" s="1874"/>
      <c r="F98" s="1225"/>
      <c r="G98" s="1767">
        <v>0</v>
      </c>
      <c r="H98" s="1767">
        <v>0</v>
      </c>
      <c r="I98" s="1767">
        <v>0</v>
      </c>
      <c r="J98" s="1767">
        <v>0</v>
      </c>
      <c r="K98" s="1767">
        <v>0</v>
      </c>
      <c r="L98" s="1767">
        <v>0</v>
      </c>
      <c r="M98" s="1767">
        <v>0</v>
      </c>
      <c r="N98" s="1767">
        <v>0</v>
      </c>
      <c r="O98" s="1767">
        <v>0</v>
      </c>
      <c r="P98" s="1767">
        <v>0</v>
      </c>
      <c r="Q98" s="1767">
        <v>0</v>
      </c>
      <c r="R98" s="1767">
        <v>0</v>
      </c>
      <c r="S98" s="1767">
        <v>0</v>
      </c>
      <c r="T98" s="1767">
        <v>0</v>
      </c>
      <c r="U98" s="1767">
        <v>0</v>
      </c>
      <c r="V98" s="1767">
        <v>0</v>
      </c>
      <c r="W98" s="1767">
        <v>0</v>
      </c>
      <c r="X98" s="1767">
        <v>0</v>
      </c>
      <c r="Y98" s="1767">
        <v>0</v>
      </c>
      <c r="Z98" s="1767">
        <v>0</v>
      </c>
      <c r="AA98" s="1767">
        <v>0</v>
      </c>
      <c r="AB98" s="1767">
        <v>0</v>
      </c>
      <c r="AC98" s="1767">
        <v>0</v>
      </c>
      <c r="AD98" s="1767">
        <v>0</v>
      </c>
      <c r="AE98" s="1767">
        <v>0</v>
      </c>
      <c r="AF98" s="1767">
        <v>0</v>
      </c>
      <c r="AG98" s="1767">
        <v>0</v>
      </c>
      <c r="AH98" s="1767">
        <v>0</v>
      </c>
      <c r="AI98" s="1767">
        <v>0</v>
      </c>
      <c r="AJ98" s="1767">
        <v>0</v>
      </c>
      <c r="AK98" s="1767">
        <v>0</v>
      </c>
      <c r="AL98" s="1767">
        <v>0</v>
      </c>
      <c r="AM98" s="1767">
        <v>0</v>
      </c>
      <c r="AN98" s="1767">
        <v>0</v>
      </c>
      <c r="AO98" s="1767">
        <v>0</v>
      </c>
      <c r="AP98" s="1767">
        <v>0</v>
      </c>
      <c r="AQ98" s="1767">
        <v>0</v>
      </c>
      <c r="AR98" s="1767">
        <v>0</v>
      </c>
      <c r="AS98" s="1767">
        <v>0</v>
      </c>
      <c r="AT98" s="1767">
        <v>0</v>
      </c>
      <c r="AU98" s="1767">
        <v>0</v>
      </c>
      <c r="AV98" s="1767">
        <v>0</v>
      </c>
      <c r="AW98" s="1767">
        <v>0</v>
      </c>
      <c r="AX98" s="1767">
        <v>0</v>
      </c>
      <c r="AY98" s="1767">
        <v>0</v>
      </c>
      <c r="AZ98" s="1767">
        <v>0</v>
      </c>
      <c r="BA98" s="1767">
        <v>0</v>
      </c>
      <c r="BB98" s="1767">
        <v>0</v>
      </c>
      <c r="BC98" s="1767">
        <v>0</v>
      </c>
      <c r="BD98" s="1767">
        <v>0</v>
      </c>
      <c r="BE98" s="1767">
        <v>0</v>
      </c>
      <c r="BF98" s="1767">
        <v>0</v>
      </c>
      <c r="BG98" s="1767">
        <v>0</v>
      </c>
      <c r="BH98" s="1767">
        <v>0</v>
      </c>
      <c r="BI98" s="1767">
        <v>0</v>
      </c>
      <c r="BJ98" s="1767">
        <v>0</v>
      </c>
      <c r="BK98" s="1767">
        <v>0</v>
      </c>
      <c r="BL98" s="1767">
        <v>0</v>
      </c>
      <c r="BM98" s="1767">
        <v>0</v>
      </c>
      <c r="BN98" s="1767">
        <v>0</v>
      </c>
      <c r="BO98" s="1767">
        <v>0</v>
      </c>
      <c r="BP98" s="1767">
        <v>0</v>
      </c>
      <c r="BQ98" s="1767">
        <v>0</v>
      </c>
      <c r="BR98" s="1767">
        <v>0</v>
      </c>
      <c r="BS98" s="1767">
        <v>0</v>
      </c>
      <c r="BT98" s="1767">
        <v>0</v>
      </c>
      <c r="BU98" s="1767">
        <v>0</v>
      </c>
      <c r="BV98" s="1767">
        <v>0</v>
      </c>
      <c r="BW98" s="1767">
        <v>0</v>
      </c>
      <c r="BX98" s="1767">
        <v>0</v>
      </c>
      <c r="BY98" s="1767">
        <v>0</v>
      </c>
      <c r="BZ98" s="1767">
        <v>0</v>
      </c>
      <c r="CA98" s="1767">
        <v>0</v>
      </c>
      <c r="CB98" s="1767">
        <v>0</v>
      </c>
      <c r="CC98" s="1767">
        <v>0</v>
      </c>
      <c r="CD98" s="1767">
        <v>0</v>
      </c>
      <c r="CE98" s="1767">
        <v>0</v>
      </c>
      <c r="CF98" s="1767">
        <v>0</v>
      </c>
      <c r="CG98" s="1767">
        <v>0</v>
      </c>
      <c r="CH98" s="1767">
        <v>0</v>
      </c>
      <c r="CI98" s="1767">
        <v>0</v>
      </c>
      <c r="CJ98" s="1767">
        <v>0</v>
      </c>
      <c r="CK98" s="1767">
        <v>0</v>
      </c>
      <c r="CL98" s="1767">
        <v>0</v>
      </c>
      <c r="CM98" s="1767">
        <v>0</v>
      </c>
      <c r="CN98" s="1767">
        <v>0</v>
      </c>
      <c r="CO98" s="1767">
        <v>0</v>
      </c>
      <c r="CP98" s="1767">
        <v>0</v>
      </c>
    </row>
    <row r="99" spans="1:94" ht="15" customHeight="1" x14ac:dyDescent="0.2">
      <c r="A99" s="1856"/>
      <c r="B99" s="1856"/>
      <c r="C99" s="653" t="s">
        <v>636</v>
      </c>
      <c r="D99" s="936"/>
      <c r="E99" s="1874"/>
      <c r="F99" s="1225"/>
      <c r="G99" s="1767">
        <v>0</v>
      </c>
      <c r="H99" s="1767">
        <v>0</v>
      </c>
      <c r="I99" s="1767">
        <v>0</v>
      </c>
      <c r="J99" s="1767">
        <v>0</v>
      </c>
      <c r="K99" s="1767">
        <v>0</v>
      </c>
      <c r="L99" s="1767">
        <v>0</v>
      </c>
      <c r="M99" s="1767">
        <v>0</v>
      </c>
      <c r="N99" s="1767">
        <v>0</v>
      </c>
      <c r="O99" s="1767">
        <v>0</v>
      </c>
      <c r="P99" s="1767">
        <v>0</v>
      </c>
      <c r="Q99" s="1767">
        <v>0</v>
      </c>
      <c r="R99" s="1767">
        <v>0</v>
      </c>
      <c r="S99" s="1767">
        <v>0</v>
      </c>
      <c r="T99" s="1767">
        <v>0</v>
      </c>
      <c r="U99" s="1767">
        <v>0</v>
      </c>
      <c r="V99" s="1767">
        <v>0</v>
      </c>
      <c r="W99" s="1767">
        <v>0</v>
      </c>
      <c r="X99" s="1767">
        <v>0</v>
      </c>
      <c r="Y99" s="1767">
        <v>0</v>
      </c>
      <c r="Z99" s="1767">
        <v>0</v>
      </c>
      <c r="AA99" s="1767">
        <v>0</v>
      </c>
      <c r="AB99" s="1767">
        <v>0</v>
      </c>
      <c r="AC99" s="1767">
        <v>0</v>
      </c>
      <c r="AD99" s="1767">
        <v>0</v>
      </c>
      <c r="AE99" s="1767">
        <v>0</v>
      </c>
      <c r="AF99" s="1767">
        <v>0</v>
      </c>
      <c r="AG99" s="1767">
        <v>0</v>
      </c>
      <c r="AH99" s="1767">
        <v>0</v>
      </c>
      <c r="AI99" s="1767">
        <v>0</v>
      </c>
      <c r="AJ99" s="1767">
        <v>0</v>
      </c>
      <c r="AK99" s="1767">
        <v>0</v>
      </c>
      <c r="AL99" s="1767">
        <v>0</v>
      </c>
      <c r="AM99" s="1767">
        <v>0</v>
      </c>
      <c r="AN99" s="1767">
        <v>0</v>
      </c>
      <c r="AO99" s="1767">
        <v>0</v>
      </c>
      <c r="AP99" s="1767">
        <v>0</v>
      </c>
      <c r="AQ99" s="1767">
        <v>0</v>
      </c>
      <c r="AR99" s="1767">
        <v>0</v>
      </c>
      <c r="AS99" s="1767">
        <v>0</v>
      </c>
      <c r="AT99" s="1767">
        <v>0</v>
      </c>
      <c r="AU99" s="1767">
        <v>0</v>
      </c>
      <c r="AV99" s="1767">
        <v>0</v>
      </c>
      <c r="AW99" s="1767">
        <v>0</v>
      </c>
      <c r="AX99" s="1767">
        <v>0</v>
      </c>
      <c r="AY99" s="1767">
        <v>0</v>
      </c>
      <c r="AZ99" s="1767">
        <v>0</v>
      </c>
      <c r="BA99" s="1767">
        <v>0</v>
      </c>
      <c r="BB99" s="1767">
        <v>0</v>
      </c>
      <c r="BC99" s="1767">
        <v>0</v>
      </c>
      <c r="BD99" s="1767">
        <v>0</v>
      </c>
      <c r="BE99" s="1767">
        <v>0</v>
      </c>
      <c r="BF99" s="1767">
        <v>0</v>
      </c>
      <c r="BG99" s="1767">
        <v>0</v>
      </c>
      <c r="BH99" s="1767">
        <v>0</v>
      </c>
      <c r="BI99" s="1767">
        <v>0</v>
      </c>
      <c r="BJ99" s="1767">
        <v>0</v>
      </c>
      <c r="BK99" s="1767">
        <v>0</v>
      </c>
      <c r="BL99" s="1767">
        <v>0</v>
      </c>
      <c r="BM99" s="1767">
        <v>0</v>
      </c>
      <c r="BN99" s="1767">
        <v>0</v>
      </c>
      <c r="BO99" s="1767">
        <v>0</v>
      </c>
      <c r="BP99" s="1767">
        <v>0</v>
      </c>
      <c r="BQ99" s="1767">
        <v>0</v>
      </c>
      <c r="BR99" s="1767">
        <v>0</v>
      </c>
      <c r="BS99" s="1767">
        <v>0</v>
      </c>
      <c r="BT99" s="1767">
        <v>0</v>
      </c>
      <c r="BU99" s="1767">
        <v>0</v>
      </c>
      <c r="BV99" s="1767">
        <v>0</v>
      </c>
      <c r="BW99" s="1767">
        <v>0</v>
      </c>
      <c r="BX99" s="1767">
        <v>0</v>
      </c>
      <c r="BY99" s="1767">
        <v>0</v>
      </c>
      <c r="BZ99" s="1767">
        <v>0</v>
      </c>
      <c r="CA99" s="1767">
        <v>0</v>
      </c>
      <c r="CB99" s="1767">
        <v>0</v>
      </c>
      <c r="CC99" s="1767">
        <v>0</v>
      </c>
      <c r="CD99" s="1767">
        <v>0</v>
      </c>
      <c r="CE99" s="1767">
        <v>0</v>
      </c>
      <c r="CF99" s="1767">
        <v>0</v>
      </c>
      <c r="CG99" s="1767">
        <v>0</v>
      </c>
      <c r="CH99" s="1767">
        <v>0</v>
      </c>
      <c r="CI99" s="1767">
        <v>0</v>
      </c>
      <c r="CJ99" s="1767">
        <v>0</v>
      </c>
      <c r="CK99" s="1767">
        <v>0</v>
      </c>
      <c r="CL99" s="1767">
        <v>0</v>
      </c>
      <c r="CM99" s="1767">
        <v>0</v>
      </c>
      <c r="CN99" s="1767">
        <v>0</v>
      </c>
      <c r="CO99" s="1767">
        <v>0</v>
      </c>
      <c r="CP99" s="1767">
        <v>0</v>
      </c>
    </row>
    <row r="100" spans="1:94" ht="15" customHeight="1" thickBot="1" x14ac:dyDescent="0.25">
      <c r="A100" s="1856"/>
      <c r="B100" s="1856"/>
      <c r="C100" s="800" t="s">
        <v>2358</v>
      </c>
      <c r="D100" s="949"/>
      <c r="E100" s="1886"/>
      <c r="F100" s="1225"/>
      <c r="G100" s="1767">
        <v>0</v>
      </c>
      <c r="H100" s="1767">
        <v>0</v>
      </c>
      <c r="I100" s="1767">
        <v>0</v>
      </c>
      <c r="J100" s="1767">
        <v>0</v>
      </c>
      <c r="K100" s="1767">
        <v>0</v>
      </c>
      <c r="L100" s="1767">
        <v>0</v>
      </c>
      <c r="M100" s="1767">
        <v>0</v>
      </c>
      <c r="N100" s="1767">
        <v>0</v>
      </c>
      <c r="O100" s="1767">
        <v>0</v>
      </c>
      <c r="P100" s="1767">
        <v>0</v>
      </c>
      <c r="Q100" s="1767">
        <v>0</v>
      </c>
      <c r="R100" s="1767">
        <v>0</v>
      </c>
      <c r="S100" s="1767">
        <v>0</v>
      </c>
      <c r="T100" s="1767">
        <v>0</v>
      </c>
      <c r="U100" s="1767">
        <v>0</v>
      </c>
      <c r="V100" s="1767">
        <v>0</v>
      </c>
      <c r="W100" s="1767">
        <v>0</v>
      </c>
      <c r="X100" s="1767">
        <v>0</v>
      </c>
      <c r="Y100" s="1767">
        <v>0</v>
      </c>
      <c r="Z100" s="1767">
        <v>0</v>
      </c>
      <c r="AA100" s="1767">
        <v>0</v>
      </c>
      <c r="AB100" s="1767">
        <v>0</v>
      </c>
      <c r="AC100" s="1767">
        <v>0</v>
      </c>
      <c r="AD100" s="1767">
        <v>0</v>
      </c>
      <c r="AE100" s="1767">
        <v>0</v>
      </c>
      <c r="AF100" s="1767">
        <v>0</v>
      </c>
      <c r="AG100" s="1767">
        <v>0</v>
      </c>
      <c r="AH100" s="1767">
        <v>0</v>
      </c>
      <c r="AI100" s="1767">
        <v>0</v>
      </c>
      <c r="AJ100" s="1767">
        <v>0</v>
      </c>
      <c r="AK100" s="1767">
        <v>0</v>
      </c>
      <c r="AL100" s="1767">
        <v>0</v>
      </c>
      <c r="AM100" s="1767">
        <v>0</v>
      </c>
      <c r="AN100" s="1767">
        <v>0</v>
      </c>
      <c r="AO100" s="1767">
        <v>0</v>
      </c>
      <c r="AP100" s="1767">
        <v>0</v>
      </c>
      <c r="AQ100" s="1767">
        <v>0</v>
      </c>
      <c r="AR100" s="1767">
        <v>0</v>
      </c>
      <c r="AS100" s="1767">
        <v>0</v>
      </c>
      <c r="AT100" s="1767">
        <v>0</v>
      </c>
      <c r="AU100" s="1767">
        <v>0</v>
      </c>
      <c r="AV100" s="1767">
        <v>0</v>
      </c>
      <c r="AW100" s="1767">
        <v>0</v>
      </c>
      <c r="AX100" s="1767">
        <v>0</v>
      </c>
      <c r="AY100" s="1767">
        <v>0</v>
      </c>
      <c r="AZ100" s="1767">
        <v>0</v>
      </c>
      <c r="BA100" s="1767">
        <v>0</v>
      </c>
      <c r="BB100" s="1767">
        <v>0</v>
      </c>
      <c r="BC100" s="1767">
        <v>0</v>
      </c>
      <c r="BD100" s="1767">
        <v>0</v>
      </c>
      <c r="BE100" s="1767">
        <v>0</v>
      </c>
      <c r="BF100" s="1767">
        <v>0</v>
      </c>
      <c r="BG100" s="1767">
        <v>0</v>
      </c>
      <c r="BH100" s="1767">
        <v>0</v>
      </c>
      <c r="BI100" s="1767">
        <v>0</v>
      </c>
      <c r="BJ100" s="1767">
        <v>0</v>
      </c>
      <c r="BK100" s="1767">
        <v>0</v>
      </c>
      <c r="BL100" s="1767">
        <v>0</v>
      </c>
      <c r="BM100" s="1767">
        <v>0</v>
      </c>
      <c r="BN100" s="1767">
        <v>0</v>
      </c>
      <c r="BO100" s="1767">
        <v>0</v>
      </c>
      <c r="BP100" s="1767">
        <v>0</v>
      </c>
      <c r="BQ100" s="1767">
        <v>0</v>
      </c>
      <c r="BR100" s="1767">
        <v>0</v>
      </c>
      <c r="BS100" s="1767">
        <v>0</v>
      </c>
      <c r="BT100" s="1767">
        <v>0</v>
      </c>
      <c r="BU100" s="1767">
        <v>0</v>
      </c>
      <c r="BV100" s="1767">
        <v>0</v>
      </c>
      <c r="BW100" s="1767">
        <v>0</v>
      </c>
      <c r="BX100" s="1767">
        <v>0</v>
      </c>
      <c r="BY100" s="1767">
        <v>0</v>
      </c>
      <c r="BZ100" s="1767">
        <v>0</v>
      </c>
      <c r="CA100" s="1767">
        <v>0</v>
      </c>
      <c r="CB100" s="1767">
        <v>0</v>
      </c>
      <c r="CC100" s="1767">
        <v>0</v>
      </c>
      <c r="CD100" s="1767">
        <v>0</v>
      </c>
      <c r="CE100" s="1767">
        <v>0</v>
      </c>
      <c r="CF100" s="1767">
        <v>0</v>
      </c>
      <c r="CG100" s="1767">
        <v>0</v>
      </c>
      <c r="CH100" s="1767">
        <v>0</v>
      </c>
      <c r="CI100" s="1767">
        <v>0</v>
      </c>
      <c r="CJ100" s="1767">
        <v>0</v>
      </c>
      <c r="CK100" s="1767">
        <v>0</v>
      </c>
      <c r="CL100" s="1767">
        <v>0</v>
      </c>
      <c r="CM100" s="1767">
        <v>0</v>
      </c>
      <c r="CN100" s="1767">
        <v>0</v>
      </c>
      <c r="CO100" s="1767">
        <v>0</v>
      </c>
      <c r="CP100" s="1767">
        <v>0</v>
      </c>
    </row>
    <row r="101" spans="1:94" s="58" customFormat="1" ht="21" customHeight="1" thickBot="1" x14ac:dyDescent="0.25">
      <c r="A101" s="1846" t="s">
        <v>1293</v>
      </c>
      <c r="B101" s="1846" t="s">
        <v>443</v>
      </c>
      <c r="C101" s="1780" t="s">
        <v>2516</v>
      </c>
      <c r="D101" s="947"/>
      <c r="E101" s="1873" t="s">
        <v>1830</v>
      </c>
      <c r="F101" s="1225"/>
      <c r="G101" s="1742"/>
      <c r="H101" s="1742"/>
      <c r="I101" s="1742"/>
      <c r="J101" s="1742"/>
      <c r="K101" s="1742"/>
      <c r="L101" s="1742"/>
      <c r="M101" s="1742"/>
      <c r="N101" s="1742"/>
      <c r="O101" s="1742"/>
      <c r="P101" s="1742"/>
      <c r="Q101" s="1742"/>
      <c r="R101" s="1742"/>
      <c r="S101" s="1742"/>
      <c r="T101" s="1742"/>
      <c r="U101" s="1742"/>
      <c r="V101" s="1742"/>
      <c r="W101" s="1742"/>
      <c r="X101" s="1742"/>
      <c r="Y101" s="1742"/>
      <c r="Z101" s="1742"/>
      <c r="AA101" s="1742"/>
      <c r="AB101" s="1742"/>
      <c r="AC101" s="1742"/>
      <c r="AD101" s="1742"/>
      <c r="AE101" s="1742"/>
      <c r="AF101" s="1742"/>
      <c r="AG101" s="1742"/>
      <c r="AH101" s="1742"/>
      <c r="AI101" s="1742"/>
      <c r="AJ101" s="1742"/>
      <c r="AK101" s="1742"/>
      <c r="AL101" s="1742"/>
      <c r="AM101" s="1742"/>
      <c r="AN101" s="1742"/>
      <c r="AO101" s="1742"/>
      <c r="AP101" s="1742"/>
      <c r="AQ101" s="1742"/>
      <c r="AR101" s="1742"/>
      <c r="AS101" s="1742"/>
      <c r="AT101" s="1742"/>
      <c r="AU101" s="1742"/>
      <c r="AV101" s="1742"/>
      <c r="AW101" s="1742"/>
      <c r="AX101" s="1742"/>
      <c r="AY101" s="1742"/>
      <c r="AZ101" s="1742"/>
      <c r="BA101" s="1742"/>
      <c r="BB101" s="1742"/>
      <c r="BC101" s="1742"/>
      <c r="BD101" s="1742"/>
      <c r="BE101" s="1742"/>
      <c r="BF101" s="1742"/>
      <c r="BG101" s="1742"/>
      <c r="BH101" s="1742"/>
      <c r="BI101" s="1742"/>
      <c r="BJ101" s="1742"/>
      <c r="BK101" s="1742"/>
      <c r="BL101" s="1742"/>
      <c r="BM101" s="1742"/>
      <c r="BN101" s="1742"/>
      <c r="BO101" s="1742"/>
      <c r="BP101" s="1742"/>
      <c r="BQ101" s="1742"/>
      <c r="BR101" s="1742"/>
      <c r="BS101" s="1742"/>
      <c r="BT101" s="1742"/>
      <c r="BU101" s="1742"/>
      <c r="BV101" s="1742"/>
      <c r="BW101" s="1742"/>
      <c r="BX101" s="1742"/>
      <c r="BY101" s="1742"/>
      <c r="BZ101" s="1742"/>
      <c r="CA101" s="1742"/>
      <c r="CB101" s="1742"/>
      <c r="CC101" s="1742"/>
      <c r="CD101" s="1742"/>
      <c r="CE101" s="1742"/>
      <c r="CF101" s="1742"/>
      <c r="CG101" s="1742"/>
      <c r="CH101" s="1742"/>
      <c r="CI101" s="1742"/>
      <c r="CJ101" s="1742"/>
      <c r="CK101" s="1742"/>
      <c r="CL101" s="1742"/>
      <c r="CM101" s="1742"/>
      <c r="CN101" s="1742"/>
      <c r="CO101" s="1742"/>
      <c r="CP101" s="1742"/>
    </row>
    <row r="102" spans="1:94" s="58" customFormat="1" ht="15" customHeight="1" x14ac:dyDescent="0.2">
      <c r="A102" s="1847"/>
      <c r="B102" s="1856"/>
      <c r="C102" s="652" t="s">
        <v>2101</v>
      </c>
      <c r="D102" s="936"/>
      <c r="E102" s="1874"/>
      <c r="F102" s="1225"/>
      <c r="G102" s="1767">
        <v>0</v>
      </c>
      <c r="H102" s="1767">
        <v>0</v>
      </c>
      <c r="I102" s="1767">
        <v>0</v>
      </c>
      <c r="J102" s="1767">
        <v>0</v>
      </c>
      <c r="K102" s="1767">
        <v>0</v>
      </c>
      <c r="L102" s="1767">
        <v>0</v>
      </c>
      <c r="M102" s="1767">
        <v>0</v>
      </c>
      <c r="N102" s="1767">
        <v>0</v>
      </c>
      <c r="O102" s="1767">
        <v>0</v>
      </c>
      <c r="P102" s="1767">
        <v>0</v>
      </c>
      <c r="Q102" s="1767">
        <v>0</v>
      </c>
      <c r="R102" s="1767">
        <v>0</v>
      </c>
      <c r="S102" s="1767">
        <v>0</v>
      </c>
      <c r="T102" s="1767">
        <v>0</v>
      </c>
      <c r="U102" s="1767">
        <v>0</v>
      </c>
      <c r="V102" s="1767">
        <v>0</v>
      </c>
      <c r="W102" s="1767">
        <v>0</v>
      </c>
      <c r="X102" s="1767">
        <v>0</v>
      </c>
      <c r="Y102" s="1767">
        <v>0</v>
      </c>
      <c r="Z102" s="1767">
        <v>0</v>
      </c>
      <c r="AA102" s="1767">
        <v>0</v>
      </c>
      <c r="AB102" s="1767">
        <v>0</v>
      </c>
      <c r="AC102" s="1767">
        <v>0</v>
      </c>
      <c r="AD102" s="1767">
        <v>0</v>
      </c>
      <c r="AE102" s="1767">
        <v>0</v>
      </c>
      <c r="AF102" s="1767">
        <v>0</v>
      </c>
      <c r="AG102" s="1767">
        <v>0</v>
      </c>
      <c r="AH102" s="1767">
        <v>0</v>
      </c>
      <c r="AI102" s="1767">
        <v>0</v>
      </c>
      <c r="AJ102" s="1767">
        <v>0</v>
      </c>
      <c r="AK102" s="1767">
        <v>0</v>
      </c>
      <c r="AL102" s="1767">
        <v>0</v>
      </c>
      <c r="AM102" s="1767">
        <v>0</v>
      </c>
      <c r="AN102" s="1767">
        <v>0</v>
      </c>
      <c r="AO102" s="1767">
        <v>0</v>
      </c>
      <c r="AP102" s="1767">
        <v>0</v>
      </c>
      <c r="AQ102" s="1767">
        <v>0</v>
      </c>
      <c r="AR102" s="1767">
        <v>0</v>
      </c>
      <c r="AS102" s="1767">
        <v>0</v>
      </c>
      <c r="AT102" s="1767">
        <v>0</v>
      </c>
      <c r="AU102" s="1767">
        <v>0</v>
      </c>
      <c r="AV102" s="1767">
        <v>0</v>
      </c>
      <c r="AW102" s="1767">
        <v>0</v>
      </c>
      <c r="AX102" s="1767">
        <v>0</v>
      </c>
      <c r="AY102" s="1767">
        <v>0</v>
      </c>
      <c r="AZ102" s="1767">
        <v>0</v>
      </c>
      <c r="BA102" s="1767">
        <v>0</v>
      </c>
      <c r="BB102" s="1767">
        <v>0</v>
      </c>
      <c r="BC102" s="1767">
        <v>0</v>
      </c>
      <c r="BD102" s="1767">
        <v>0</v>
      </c>
      <c r="BE102" s="1767">
        <v>0</v>
      </c>
      <c r="BF102" s="1767">
        <v>0</v>
      </c>
      <c r="BG102" s="1767">
        <v>0</v>
      </c>
      <c r="BH102" s="1767">
        <v>0</v>
      </c>
      <c r="BI102" s="1767">
        <v>0</v>
      </c>
      <c r="BJ102" s="1767">
        <v>0</v>
      </c>
      <c r="BK102" s="1767">
        <v>0</v>
      </c>
      <c r="BL102" s="1767">
        <v>0</v>
      </c>
      <c r="BM102" s="1767">
        <v>0</v>
      </c>
      <c r="BN102" s="1767">
        <v>0</v>
      </c>
      <c r="BO102" s="1767">
        <v>0</v>
      </c>
      <c r="BP102" s="1767">
        <v>0</v>
      </c>
      <c r="BQ102" s="1767">
        <v>0</v>
      </c>
      <c r="BR102" s="1767">
        <v>0</v>
      </c>
      <c r="BS102" s="1767">
        <v>0</v>
      </c>
      <c r="BT102" s="1767">
        <v>0</v>
      </c>
      <c r="BU102" s="1767">
        <v>0</v>
      </c>
      <c r="BV102" s="1767">
        <v>0</v>
      </c>
      <c r="BW102" s="1767">
        <v>0</v>
      </c>
      <c r="BX102" s="1767">
        <v>0</v>
      </c>
      <c r="BY102" s="1767">
        <v>0</v>
      </c>
      <c r="BZ102" s="1767">
        <v>0</v>
      </c>
      <c r="CA102" s="1767">
        <v>0</v>
      </c>
      <c r="CB102" s="1767">
        <v>0</v>
      </c>
      <c r="CC102" s="1767">
        <v>0</v>
      </c>
      <c r="CD102" s="1767">
        <v>0</v>
      </c>
      <c r="CE102" s="1767">
        <v>0</v>
      </c>
      <c r="CF102" s="1767">
        <v>0</v>
      </c>
      <c r="CG102" s="1767">
        <v>0</v>
      </c>
      <c r="CH102" s="1767">
        <v>0</v>
      </c>
      <c r="CI102" s="1767">
        <v>0</v>
      </c>
      <c r="CJ102" s="1767">
        <v>0</v>
      </c>
      <c r="CK102" s="1767">
        <v>0</v>
      </c>
      <c r="CL102" s="1767">
        <v>0</v>
      </c>
      <c r="CM102" s="1767">
        <v>0</v>
      </c>
      <c r="CN102" s="1767">
        <v>0</v>
      </c>
      <c r="CO102" s="1767">
        <v>0</v>
      </c>
      <c r="CP102" s="1767">
        <v>0</v>
      </c>
    </row>
    <row r="103" spans="1:94" s="58" customFormat="1" ht="15" customHeight="1" x14ac:dyDescent="0.2">
      <c r="A103" s="1847"/>
      <c r="B103" s="1856"/>
      <c r="C103" s="653" t="s">
        <v>2102</v>
      </c>
      <c r="D103" s="936"/>
      <c r="E103" s="1874"/>
      <c r="F103" s="1225"/>
      <c r="G103" s="1767">
        <v>0</v>
      </c>
      <c r="H103" s="1767">
        <v>0</v>
      </c>
      <c r="I103" s="1767">
        <v>0</v>
      </c>
      <c r="J103" s="1767">
        <v>0</v>
      </c>
      <c r="K103" s="1767">
        <v>0</v>
      </c>
      <c r="L103" s="1767">
        <v>0</v>
      </c>
      <c r="M103" s="1767">
        <v>0</v>
      </c>
      <c r="N103" s="1767">
        <v>0</v>
      </c>
      <c r="O103" s="1767">
        <v>0</v>
      </c>
      <c r="P103" s="1767">
        <v>0</v>
      </c>
      <c r="Q103" s="1767">
        <v>0</v>
      </c>
      <c r="R103" s="1767">
        <v>0</v>
      </c>
      <c r="S103" s="1767">
        <v>0</v>
      </c>
      <c r="T103" s="1767">
        <v>0</v>
      </c>
      <c r="U103" s="1767">
        <v>0</v>
      </c>
      <c r="V103" s="1767">
        <v>0</v>
      </c>
      <c r="W103" s="1767">
        <v>0</v>
      </c>
      <c r="X103" s="1767">
        <v>0</v>
      </c>
      <c r="Y103" s="1767">
        <v>0</v>
      </c>
      <c r="Z103" s="1767">
        <v>0</v>
      </c>
      <c r="AA103" s="1767">
        <v>0</v>
      </c>
      <c r="AB103" s="1767">
        <v>0</v>
      </c>
      <c r="AC103" s="1767">
        <v>0</v>
      </c>
      <c r="AD103" s="1767">
        <v>0</v>
      </c>
      <c r="AE103" s="1767">
        <v>0</v>
      </c>
      <c r="AF103" s="1767">
        <v>0</v>
      </c>
      <c r="AG103" s="1767">
        <v>0</v>
      </c>
      <c r="AH103" s="1767">
        <v>0</v>
      </c>
      <c r="AI103" s="1767">
        <v>0</v>
      </c>
      <c r="AJ103" s="1767">
        <v>0</v>
      </c>
      <c r="AK103" s="1767">
        <v>0</v>
      </c>
      <c r="AL103" s="1767">
        <v>0</v>
      </c>
      <c r="AM103" s="1767">
        <v>0</v>
      </c>
      <c r="AN103" s="1767">
        <v>0</v>
      </c>
      <c r="AO103" s="1767">
        <v>0</v>
      </c>
      <c r="AP103" s="1767">
        <v>0</v>
      </c>
      <c r="AQ103" s="1767">
        <v>0</v>
      </c>
      <c r="AR103" s="1767">
        <v>0</v>
      </c>
      <c r="AS103" s="1767">
        <v>0</v>
      </c>
      <c r="AT103" s="1767">
        <v>0</v>
      </c>
      <c r="AU103" s="1767">
        <v>0</v>
      </c>
      <c r="AV103" s="1767">
        <v>0</v>
      </c>
      <c r="AW103" s="1767">
        <v>0</v>
      </c>
      <c r="AX103" s="1767">
        <v>0</v>
      </c>
      <c r="AY103" s="1767">
        <v>0</v>
      </c>
      <c r="AZ103" s="1767">
        <v>0</v>
      </c>
      <c r="BA103" s="1767">
        <v>0</v>
      </c>
      <c r="BB103" s="1767">
        <v>0</v>
      </c>
      <c r="BC103" s="1767">
        <v>0</v>
      </c>
      <c r="BD103" s="1767">
        <v>0</v>
      </c>
      <c r="BE103" s="1767">
        <v>0</v>
      </c>
      <c r="BF103" s="1767">
        <v>0</v>
      </c>
      <c r="BG103" s="1767">
        <v>0</v>
      </c>
      <c r="BH103" s="1767">
        <v>0</v>
      </c>
      <c r="BI103" s="1767">
        <v>0</v>
      </c>
      <c r="BJ103" s="1767">
        <v>0</v>
      </c>
      <c r="BK103" s="1767">
        <v>0</v>
      </c>
      <c r="BL103" s="1767">
        <v>0</v>
      </c>
      <c r="BM103" s="1767">
        <v>0</v>
      </c>
      <c r="BN103" s="1767">
        <v>0</v>
      </c>
      <c r="BO103" s="1767">
        <v>0</v>
      </c>
      <c r="BP103" s="1767">
        <v>0</v>
      </c>
      <c r="BQ103" s="1767">
        <v>0</v>
      </c>
      <c r="BR103" s="1767">
        <v>0</v>
      </c>
      <c r="BS103" s="1767">
        <v>0</v>
      </c>
      <c r="BT103" s="1767">
        <v>0</v>
      </c>
      <c r="BU103" s="1767">
        <v>0</v>
      </c>
      <c r="BV103" s="1767">
        <v>0</v>
      </c>
      <c r="BW103" s="1767">
        <v>0</v>
      </c>
      <c r="BX103" s="1767">
        <v>0</v>
      </c>
      <c r="BY103" s="1767">
        <v>0</v>
      </c>
      <c r="BZ103" s="1767">
        <v>0</v>
      </c>
      <c r="CA103" s="1767">
        <v>0</v>
      </c>
      <c r="CB103" s="1767">
        <v>0</v>
      </c>
      <c r="CC103" s="1767">
        <v>0</v>
      </c>
      <c r="CD103" s="1767">
        <v>0</v>
      </c>
      <c r="CE103" s="1767">
        <v>0</v>
      </c>
      <c r="CF103" s="1767">
        <v>0</v>
      </c>
      <c r="CG103" s="1767">
        <v>0</v>
      </c>
      <c r="CH103" s="1767">
        <v>0</v>
      </c>
      <c r="CI103" s="1767">
        <v>0</v>
      </c>
      <c r="CJ103" s="1767">
        <v>0</v>
      </c>
      <c r="CK103" s="1767">
        <v>0</v>
      </c>
      <c r="CL103" s="1767">
        <v>0</v>
      </c>
      <c r="CM103" s="1767">
        <v>0</v>
      </c>
      <c r="CN103" s="1767">
        <v>0</v>
      </c>
      <c r="CO103" s="1767">
        <v>0</v>
      </c>
      <c r="CP103" s="1767">
        <v>0</v>
      </c>
    </row>
    <row r="104" spans="1:94" s="58" customFormat="1" ht="15" customHeight="1" x14ac:dyDescent="0.2">
      <c r="A104" s="1847"/>
      <c r="B104" s="1856"/>
      <c r="C104" s="653" t="s">
        <v>2103</v>
      </c>
      <c r="D104" s="936"/>
      <c r="E104" s="1874"/>
      <c r="F104" s="1225"/>
      <c r="G104" s="1767">
        <v>0</v>
      </c>
      <c r="H104" s="1767">
        <v>0</v>
      </c>
      <c r="I104" s="1767">
        <v>0</v>
      </c>
      <c r="J104" s="1767">
        <v>0</v>
      </c>
      <c r="K104" s="1767">
        <v>0</v>
      </c>
      <c r="L104" s="1767">
        <v>0</v>
      </c>
      <c r="M104" s="1767">
        <v>0</v>
      </c>
      <c r="N104" s="1767">
        <v>0</v>
      </c>
      <c r="O104" s="1767">
        <v>0</v>
      </c>
      <c r="P104" s="1767">
        <v>0</v>
      </c>
      <c r="Q104" s="1767">
        <v>0</v>
      </c>
      <c r="R104" s="1767">
        <v>0</v>
      </c>
      <c r="S104" s="1767">
        <v>0</v>
      </c>
      <c r="T104" s="1767">
        <v>0</v>
      </c>
      <c r="U104" s="1767">
        <v>0</v>
      </c>
      <c r="V104" s="1767">
        <v>0</v>
      </c>
      <c r="W104" s="1767">
        <v>0</v>
      </c>
      <c r="X104" s="1767">
        <v>0</v>
      </c>
      <c r="Y104" s="1767">
        <v>0</v>
      </c>
      <c r="Z104" s="1767">
        <v>0</v>
      </c>
      <c r="AA104" s="1767">
        <v>0</v>
      </c>
      <c r="AB104" s="1767">
        <v>0</v>
      </c>
      <c r="AC104" s="1767">
        <v>0</v>
      </c>
      <c r="AD104" s="1767">
        <v>0</v>
      </c>
      <c r="AE104" s="1767">
        <v>0</v>
      </c>
      <c r="AF104" s="1767">
        <v>0</v>
      </c>
      <c r="AG104" s="1767">
        <v>0</v>
      </c>
      <c r="AH104" s="1767">
        <v>0</v>
      </c>
      <c r="AI104" s="1767">
        <v>0</v>
      </c>
      <c r="AJ104" s="1767">
        <v>0</v>
      </c>
      <c r="AK104" s="1767">
        <v>0</v>
      </c>
      <c r="AL104" s="1767">
        <v>0</v>
      </c>
      <c r="AM104" s="1767">
        <v>0</v>
      </c>
      <c r="AN104" s="1767">
        <v>0</v>
      </c>
      <c r="AO104" s="1767">
        <v>0</v>
      </c>
      <c r="AP104" s="1767">
        <v>0</v>
      </c>
      <c r="AQ104" s="1767">
        <v>0</v>
      </c>
      <c r="AR104" s="1767">
        <v>0</v>
      </c>
      <c r="AS104" s="1767">
        <v>0</v>
      </c>
      <c r="AT104" s="1767">
        <v>0</v>
      </c>
      <c r="AU104" s="1767">
        <v>0</v>
      </c>
      <c r="AV104" s="1767">
        <v>0</v>
      </c>
      <c r="AW104" s="1767">
        <v>0</v>
      </c>
      <c r="AX104" s="1767">
        <v>0</v>
      </c>
      <c r="AY104" s="1767">
        <v>0</v>
      </c>
      <c r="AZ104" s="1767">
        <v>0</v>
      </c>
      <c r="BA104" s="1767">
        <v>0</v>
      </c>
      <c r="BB104" s="1767">
        <v>0</v>
      </c>
      <c r="BC104" s="1767">
        <v>0</v>
      </c>
      <c r="BD104" s="1767">
        <v>0</v>
      </c>
      <c r="BE104" s="1767">
        <v>0</v>
      </c>
      <c r="BF104" s="1767">
        <v>0</v>
      </c>
      <c r="BG104" s="1767">
        <v>0</v>
      </c>
      <c r="BH104" s="1767">
        <v>0</v>
      </c>
      <c r="BI104" s="1767">
        <v>0</v>
      </c>
      <c r="BJ104" s="1767">
        <v>0</v>
      </c>
      <c r="BK104" s="1767">
        <v>0</v>
      </c>
      <c r="BL104" s="1767">
        <v>0</v>
      </c>
      <c r="BM104" s="1767">
        <v>0</v>
      </c>
      <c r="BN104" s="1767">
        <v>0</v>
      </c>
      <c r="BO104" s="1767">
        <v>0</v>
      </c>
      <c r="BP104" s="1767">
        <v>0</v>
      </c>
      <c r="BQ104" s="1767">
        <v>0</v>
      </c>
      <c r="BR104" s="1767">
        <v>0</v>
      </c>
      <c r="BS104" s="1767">
        <v>0</v>
      </c>
      <c r="BT104" s="1767">
        <v>0</v>
      </c>
      <c r="BU104" s="1767">
        <v>0</v>
      </c>
      <c r="BV104" s="1767">
        <v>0</v>
      </c>
      <c r="BW104" s="1767">
        <v>0</v>
      </c>
      <c r="BX104" s="1767">
        <v>0</v>
      </c>
      <c r="BY104" s="1767">
        <v>0</v>
      </c>
      <c r="BZ104" s="1767">
        <v>0</v>
      </c>
      <c r="CA104" s="1767">
        <v>0</v>
      </c>
      <c r="CB104" s="1767">
        <v>0</v>
      </c>
      <c r="CC104" s="1767">
        <v>0</v>
      </c>
      <c r="CD104" s="1767">
        <v>0</v>
      </c>
      <c r="CE104" s="1767">
        <v>0</v>
      </c>
      <c r="CF104" s="1767">
        <v>0</v>
      </c>
      <c r="CG104" s="1767">
        <v>0</v>
      </c>
      <c r="CH104" s="1767">
        <v>0</v>
      </c>
      <c r="CI104" s="1767">
        <v>0</v>
      </c>
      <c r="CJ104" s="1767">
        <v>0</v>
      </c>
      <c r="CK104" s="1767">
        <v>0</v>
      </c>
      <c r="CL104" s="1767">
        <v>0</v>
      </c>
      <c r="CM104" s="1767">
        <v>0</v>
      </c>
      <c r="CN104" s="1767">
        <v>0</v>
      </c>
      <c r="CO104" s="1767">
        <v>0</v>
      </c>
      <c r="CP104" s="1767">
        <v>0</v>
      </c>
    </row>
    <row r="105" spans="1:94" s="58" customFormat="1" ht="15" customHeight="1" x14ac:dyDescent="0.2">
      <c r="A105" s="1847"/>
      <c r="B105" s="1856"/>
      <c r="C105" s="653" t="s">
        <v>2104</v>
      </c>
      <c r="D105" s="936"/>
      <c r="E105" s="1874"/>
      <c r="F105" s="1225"/>
      <c r="G105" s="1767">
        <v>0</v>
      </c>
      <c r="H105" s="1767">
        <v>0</v>
      </c>
      <c r="I105" s="1767">
        <v>0</v>
      </c>
      <c r="J105" s="1767">
        <v>0</v>
      </c>
      <c r="K105" s="1767">
        <v>0</v>
      </c>
      <c r="L105" s="1767">
        <v>0</v>
      </c>
      <c r="M105" s="1767">
        <v>0</v>
      </c>
      <c r="N105" s="1767">
        <v>0</v>
      </c>
      <c r="O105" s="1767">
        <v>0</v>
      </c>
      <c r="P105" s="1767">
        <v>0</v>
      </c>
      <c r="Q105" s="1767">
        <v>0</v>
      </c>
      <c r="R105" s="1767">
        <v>0</v>
      </c>
      <c r="S105" s="1767">
        <v>0</v>
      </c>
      <c r="T105" s="1767">
        <v>0</v>
      </c>
      <c r="U105" s="1767">
        <v>0</v>
      </c>
      <c r="V105" s="1767">
        <v>0</v>
      </c>
      <c r="W105" s="1767">
        <v>0</v>
      </c>
      <c r="X105" s="1767">
        <v>0</v>
      </c>
      <c r="Y105" s="1767">
        <v>0</v>
      </c>
      <c r="Z105" s="1767">
        <v>0</v>
      </c>
      <c r="AA105" s="1767">
        <v>0</v>
      </c>
      <c r="AB105" s="1767">
        <v>0</v>
      </c>
      <c r="AC105" s="1767">
        <v>0</v>
      </c>
      <c r="AD105" s="1767">
        <v>0</v>
      </c>
      <c r="AE105" s="1767">
        <v>0</v>
      </c>
      <c r="AF105" s="1767">
        <v>0</v>
      </c>
      <c r="AG105" s="1767">
        <v>0</v>
      </c>
      <c r="AH105" s="1767">
        <v>0</v>
      </c>
      <c r="AI105" s="1767">
        <v>0</v>
      </c>
      <c r="AJ105" s="1767">
        <v>0</v>
      </c>
      <c r="AK105" s="1767">
        <v>0</v>
      </c>
      <c r="AL105" s="1767">
        <v>0</v>
      </c>
      <c r="AM105" s="1767">
        <v>0</v>
      </c>
      <c r="AN105" s="1767">
        <v>0</v>
      </c>
      <c r="AO105" s="1767">
        <v>0</v>
      </c>
      <c r="AP105" s="1767">
        <v>0</v>
      </c>
      <c r="AQ105" s="1767">
        <v>0</v>
      </c>
      <c r="AR105" s="1767">
        <v>0</v>
      </c>
      <c r="AS105" s="1767">
        <v>0</v>
      </c>
      <c r="AT105" s="1767">
        <v>0</v>
      </c>
      <c r="AU105" s="1767">
        <v>0</v>
      </c>
      <c r="AV105" s="1767">
        <v>0</v>
      </c>
      <c r="AW105" s="1767">
        <v>0</v>
      </c>
      <c r="AX105" s="1767">
        <v>0</v>
      </c>
      <c r="AY105" s="1767">
        <v>0</v>
      </c>
      <c r="AZ105" s="1767">
        <v>0</v>
      </c>
      <c r="BA105" s="1767">
        <v>0</v>
      </c>
      <c r="BB105" s="1767">
        <v>0</v>
      </c>
      <c r="BC105" s="1767">
        <v>0</v>
      </c>
      <c r="BD105" s="1767">
        <v>0</v>
      </c>
      <c r="BE105" s="1767">
        <v>0</v>
      </c>
      <c r="BF105" s="1767">
        <v>0</v>
      </c>
      <c r="BG105" s="1767">
        <v>0</v>
      </c>
      <c r="BH105" s="1767">
        <v>0</v>
      </c>
      <c r="BI105" s="1767">
        <v>0</v>
      </c>
      <c r="BJ105" s="1767">
        <v>0</v>
      </c>
      <c r="BK105" s="1767">
        <v>0</v>
      </c>
      <c r="BL105" s="1767">
        <v>0</v>
      </c>
      <c r="BM105" s="1767">
        <v>0</v>
      </c>
      <c r="BN105" s="1767">
        <v>0</v>
      </c>
      <c r="BO105" s="1767">
        <v>0</v>
      </c>
      <c r="BP105" s="1767">
        <v>0</v>
      </c>
      <c r="BQ105" s="1767">
        <v>0</v>
      </c>
      <c r="BR105" s="1767">
        <v>0</v>
      </c>
      <c r="BS105" s="1767">
        <v>0</v>
      </c>
      <c r="BT105" s="1767">
        <v>0</v>
      </c>
      <c r="BU105" s="1767">
        <v>0</v>
      </c>
      <c r="BV105" s="1767">
        <v>0</v>
      </c>
      <c r="BW105" s="1767">
        <v>0</v>
      </c>
      <c r="BX105" s="1767">
        <v>0</v>
      </c>
      <c r="BY105" s="1767">
        <v>0</v>
      </c>
      <c r="BZ105" s="1767">
        <v>0</v>
      </c>
      <c r="CA105" s="1767">
        <v>0</v>
      </c>
      <c r="CB105" s="1767">
        <v>0</v>
      </c>
      <c r="CC105" s="1767">
        <v>0</v>
      </c>
      <c r="CD105" s="1767">
        <v>0</v>
      </c>
      <c r="CE105" s="1767">
        <v>0</v>
      </c>
      <c r="CF105" s="1767">
        <v>0</v>
      </c>
      <c r="CG105" s="1767">
        <v>0</v>
      </c>
      <c r="CH105" s="1767">
        <v>0</v>
      </c>
      <c r="CI105" s="1767">
        <v>0</v>
      </c>
      <c r="CJ105" s="1767">
        <v>0</v>
      </c>
      <c r="CK105" s="1767">
        <v>0</v>
      </c>
      <c r="CL105" s="1767">
        <v>0</v>
      </c>
      <c r="CM105" s="1767">
        <v>0</v>
      </c>
      <c r="CN105" s="1767">
        <v>0</v>
      </c>
      <c r="CO105" s="1767">
        <v>0</v>
      </c>
      <c r="CP105" s="1767">
        <v>0</v>
      </c>
    </row>
    <row r="106" spans="1:94" s="58" customFormat="1" ht="15" customHeight="1" thickBot="1" x14ac:dyDescent="0.25">
      <c r="A106" s="1848"/>
      <c r="B106" s="1857"/>
      <c r="C106" s="654" t="s">
        <v>2105</v>
      </c>
      <c r="D106" s="950"/>
      <c r="E106" s="1875"/>
      <c r="F106" s="1225"/>
      <c r="G106" s="1767">
        <v>0</v>
      </c>
      <c r="H106" s="1767">
        <v>0</v>
      </c>
      <c r="I106" s="1767">
        <v>0</v>
      </c>
      <c r="J106" s="1767">
        <v>0</v>
      </c>
      <c r="K106" s="1767">
        <v>0</v>
      </c>
      <c r="L106" s="1767">
        <v>0</v>
      </c>
      <c r="M106" s="1767">
        <v>0</v>
      </c>
      <c r="N106" s="1767">
        <v>0</v>
      </c>
      <c r="O106" s="1767">
        <v>0</v>
      </c>
      <c r="P106" s="1767">
        <v>0</v>
      </c>
      <c r="Q106" s="1767">
        <v>0</v>
      </c>
      <c r="R106" s="1767">
        <v>0</v>
      </c>
      <c r="S106" s="1767">
        <v>0</v>
      </c>
      <c r="T106" s="1767">
        <v>0</v>
      </c>
      <c r="U106" s="1767">
        <v>0</v>
      </c>
      <c r="V106" s="1767">
        <v>0</v>
      </c>
      <c r="W106" s="1767">
        <v>0</v>
      </c>
      <c r="X106" s="1767">
        <v>0</v>
      </c>
      <c r="Y106" s="1767">
        <v>0</v>
      </c>
      <c r="Z106" s="1767">
        <v>0</v>
      </c>
      <c r="AA106" s="1767">
        <v>0</v>
      </c>
      <c r="AB106" s="1767">
        <v>0</v>
      </c>
      <c r="AC106" s="1767">
        <v>0</v>
      </c>
      <c r="AD106" s="1767">
        <v>0</v>
      </c>
      <c r="AE106" s="1767">
        <v>0</v>
      </c>
      <c r="AF106" s="1767">
        <v>0</v>
      </c>
      <c r="AG106" s="1767">
        <v>0</v>
      </c>
      <c r="AH106" s="1767">
        <v>0</v>
      </c>
      <c r="AI106" s="1767">
        <v>0</v>
      </c>
      <c r="AJ106" s="1767">
        <v>0</v>
      </c>
      <c r="AK106" s="1767">
        <v>0</v>
      </c>
      <c r="AL106" s="1767">
        <v>0</v>
      </c>
      <c r="AM106" s="1767">
        <v>0</v>
      </c>
      <c r="AN106" s="1767">
        <v>0</v>
      </c>
      <c r="AO106" s="1767">
        <v>0</v>
      </c>
      <c r="AP106" s="1767">
        <v>0</v>
      </c>
      <c r="AQ106" s="1767">
        <v>0</v>
      </c>
      <c r="AR106" s="1767">
        <v>0</v>
      </c>
      <c r="AS106" s="1767">
        <v>0</v>
      </c>
      <c r="AT106" s="1767">
        <v>0</v>
      </c>
      <c r="AU106" s="1767">
        <v>0</v>
      </c>
      <c r="AV106" s="1767">
        <v>0</v>
      </c>
      <c r="AW106" s="1767">
        <v>0</v>
      </c>
      <c r="AX106" s="1767">
        <v>0</v>
      </c>
      <c r="AY106" s="1767">
        <v>0</v>
      </c>
      <c r="AZ106" s="1767">
        <v>0</v>
      </c>
      <c r="BA106" s="1767">
        <v>0</v>
      </c>
      <c r="BB106" s="1767">
        <v>0</v>
      </c>
      <c r="BC106" s="1767">
        <v>0</v>
      </c>
      <c r="BD106" s="1767">
        <v>0</v>
      </c>
      <c r="BE106" s="1767">
        <v>0</v>
      </c>
      <c r="BF106" s="1767">
        <v>0</v>
      </c>
      <c r="BG106" s="1767">
        <v>0</v>
      </c>
      <c r="BH106" s="1767">
        <v>0</v>
      </c>
      <c r="BI106" s="1767">
        <v>0</v>
      </c>
      <c r="BJ106" s="1767">
        <v>0</v>
      </c>
      <c r="BK106" s="1767">
        <v>0</v>
      </c>
      <c r="BL106" s="1767">
        <v>0</v>
      </c>
      <c r="BM106" s="1767">
        <v>0</v>
      </c>
      <c r="BN106" s="1767">
        <v>0</v>
      </c>
      <c r="BO106" s="1767">
        <v>0</v>
      </c>
      <c r="BP106" s="1767">
        <v>0</v>
      </c>
      <c r="BQ106" s="1767">
        <v>0</v>
      </c>
      <c r="BR106" s="1767">
        <v>0</v>
      </c>
      <c r="BS106" s="1767">
        <v>0</v>
      </c>
      <c r="BT106" s="1767">
        <v>0</v>
      </c>
      <c r="BU106" s="1767">
        <v>0</v>
      </c>
      <c r="BV106" s="1767">
        <v>0</v>
      </c>
      <c r="BW106" s="1767">
        <v>0</v>
      </c>
      <c r="BX106" s="1767">
        <v>0</v>
      </c>
      <c r="BY106" s="1767">
        <v>0</v>
      </c>
      <c r="BZ106" s="1767">
        <v>0</v>
      </c>
      <c r="CA106" s="1767">
        <v>0</v>
      </c>
      <c r="CB106" s="1767">
        <v>0</v>
      </c>
      <c r="CC106" s="1767">
        <v>0</v>
      </c>
      <c r="CD106" s="1767">
        <v>0</v>
      </c>
      <c r="CE106" s="1767">
        <v>0</v>
      </c>
      <c r="CF106" s="1767">
        <v>0</v>
      </c>
      <c r="CG106" s="1767">
        <v>0</v>
      </c>
      <c r="CH106" s="1767">
        <v>0</v>
      </c>
      <c r="CI106" s="1767">
        <v>0</v>
      </c>
      <c r="CJ106" s="1767">
        <v>0</v>
      </c>
      <c r="CK106" s="1767">
        <v>0</v>
      </c>
      <c r="CL106" s="1767">
        <v>0</v>
      </c>
      <c r="CM106" s="1767">
        <v>0</v>
      </c>
      <c r="CN106" s="1767">
        <v>0</v>
      </c>
      <c r="CO106" s="1767">
        <v>0</v>
      </c>
      <c r="CP106" s="1767">
        <v>0</v>
      </c>
    </row>
    <row r="107" spans="1:94" ht="30" customHeight="1" thickBot="1" x14ac:dyDescent="0.25">
      <c r="A107" s="1889" t="s">
        <v>1294</v>
      </c>
      <c r="B107" s="1856" t="s">
        <v>652</v>
      </c>
      <c r="C107" s="1778" t="s">
        <v>606</v>
      </c>
      <c r="D107" s="946"/>
      <c r="E107" s="1831" t="s">
        <v>2073</v>
      </c>
      <c r="F107" s="1225"/>
      <c r="G107" s="1742"/>
      <c r="H107" s="1742"/>
      <c r="I107" s="1742"/>
      <c r="J107" s="1742"/>
      <c r="K107" s="1742"/>
      <c r="L107" s="1742"/>
      <c r="M107" s="1742"/>
      <c r="N107" s="1742"/>
      <c r="O107" s="1742"/>
      <c r="P107" s="1742"/>
      <c r="Q107" s="1742"/>
      <c r="R107" s="1742"/>
      <c r="S107" s="1742"/>
      <c r="T107" s="1742"/>
      <c r="U107" s="1742"/>
      <c r="V107" s="1742"/>
      <c r="W107" s="1742"/>
      <c r="X107" s="1742"/>
      <c r="Y107" s="1742"/>
      <c r="Z107" s="1742"/>
      <c r="AA107" s="1742"/>
      <c r="AB107" s="1742"/>
      <c r="AC107" s="1742"/>
      <c r="AD107" s="1742"/>
      <c r="AE107" s="1742"/>
      <c r="AF107" s="1742"/>
      <c r="AG107" s="1742"/>
      <c r="AH107" s="1742"/>
      <c r="AI107" s="1742"/>
      <c r="AJ107" s="1742"/>
      <c r="AK107" s="1742"/>
      <c r="AL107" s="1742"/>
      <c r="AM107" s="1742"/>
      <c r="AN107" s="1742"/>
      <c r="AO107" s="1742"/>
      <c r="AP107" s="1742"/>
      <c r="AQ107" s="1742"/>
      <c r="AR107" s="1742"/>
      <c r="AS107" s="1742"/>
      <c r="AT107" s="1742"/>
      <c r="AU107" s="1742"/>
      <c r="AV107" s="1742"/>
      <c r="AW107" s="1742"/>
      <c r="AX107" s="1742"/>
      <c r="AY107" s="1742"/>
      <c r="AZ107" s="1742"/>
      <c r="BA107" s="1742"/>
      <c r="BB107" s="1742"/>
      <c r="BC107" s="1742"/>
      <c r="BD107" s="1742"/>
      <c r="BE107" s="1742"/>
      <c r="BF107" s="1742"/>
      <c r="BG107" s="1742"/>
      <c r="BH107" s="1742"/>
      <c r="BI107" s="1742"/>
      <c r="BJ107" s="1742"/>
      <c r="BK107" s="1742"/>
      <c r="BL107" s="1742"/>
      <c r="BM107" s="1742"/>
      <c r="BN107" s="1742"/>
      <c r="BO107" s="1742"/>
      <c r="BP107" s="1742"/>
      <c r="BQ107" s="1742"/>
      <c r="BR107" s="1742"/>
      <c r="BS107" s="1742"/>
      <c r="BT107" s="1742"/>
      <c r="BU107" s="1742"/>
      <c r="BV107" s="1742"/>
      <c r="BW107" s="1742"/>
      <c r="BX107" s="1742"/>
      <c r="BY107" s="1742"/>
      <c r="BZ107" s="1742"/>
      <c r="CA107" s="1742"/>
      <c r="CB107" s="1742"/>
      <c r="CC107" s="1742"/>
      <c r="CD107" s="1742"/>
      <c r="CE107" s="1742"/>
      <c r="CF107" s="1742"/>
      <c r="CG107" s="1742"/>
      <c r="CH107" s="1742"/>
      <c r="CI107" s="1742"/>
      <c r="CJ107" s="1742"/>
      <c r="CK107" s="1742"/>
      <c r="CL107" s="1742"/>
      <c r="CM107" s="1742"/>
      <c r="CN107" s="1742"/>
      <c r="CO107" s="1742"/>
      <c r="CP107" s="1742"/>
    </row>
    <row r="108" spans="1:94" ht="15" customHeight="1" x14ac:dyDescent="0.2">
      <c r="A108" s="1889"/>
      <c r="B108" s="1856"/>
      <c r="C108" s="660" t="s">
        <v>53</v>
      </c>
      <c r="D108" s="936"/>
      <c r="E108" s="1831"/>
      <c r="F108" s="1225"/>
      <c r="G108" s="1767">
        <v>0</v>
      </c>
      <c r="H108" s="1767">
        <v>0</v>
      </c>
      <c r="I108" s="1767">
        <v>0</v>
      </c>
      <c r="J108" s="1767">
        <v>0</v>
      </c>
      <c r="K108" s="1767">
        <v>0</v>
      </c>
      <c r="L108" s="1767">
        <v>0</v>
      </c>
      <c r="M108" s="1767">
        <v>0</v>
      </c>
      <c r="N108" s="1767">
        <v>0</v>
      </c>
      <c r="O108" s="1767">
        <v>0</v>
      </c>
      <c r="P108" s="1767">
        <v>0</v>
      </c>
      <c r="Q108" s="1767">
        <v>0</v>
      </c>
      <c r="R108" s="1767">
        <v>0</v>
      </c>
      <c r="S108" s="1767">
        <v>0</v>
      </c>
      <c r="T108" s="1767">
        <v>0</v>
      </c>
      <c r="U108" s="1767">
        <v>0</v>
      </c>
      <c r="V108" s="1767">
        <v>0</v>
      </c>
      <c r="W108" s="1767">
        <v>0</v>
      </c>
      <c r="X108" s="1767">
        <v>0</v>
      </c>
      <c r="Y108" s="1767">
        <v>0</v>
      </c>
      <c r="Z108" s="1767">
        <v>0</v>
      </c>
      <c r="AA108" s="1767">
        <v>0</v>
      </c>
      <c r="AB108" s="1767">
        <v>0</v>
      </c>
      <c r="AC108" s="1767">
        <v>0</v>
      </c>
      <c r="AD108" s="1767">
        <v>0</v>
      </c>
      <c r="AE108" s="1767">
        <v>0</v>
      </c>
      <c r="AF108" s="1767">
        <v>0</v>
      </c>
      <c r="AG108" s="1767">
        <v>0</v>
      </c>
      <c r="AH108" s="1767">
        <v>0</v>
      </c>
      <c r="AI108" s="1767">
        <v>0</v>
      </c>
      <c r="AJ108" s="1767">
        <v>0</v>
      </c>
      <c r="AK108" s="1767">
        <v>0</v>
      </c>
      <c r="AL108" s="1767">
        <v>0</v>
      </c>
      <c r="AM108" s="1767">
        <v>0</v>
      </c>
      <c r="AN108" s="1767">
        <v>0</v>
      </c>
      <c r="AO108" s="1767">
        <v>0</v>
      </c>
      <c r="AP108" s="1767">
        <v>0</v>
      </c>
      <c r="AQ108" s="1767">
        <v>0</v>
      </c>
      <c r="AR108" s="1767">
        <v>0</v>
      </c>
      <c r="AS108" s="1767">
        <v>0</v>
      </c>
      <c r="AT108" s="1767">
        <v>0</v>
      </c>
      <c r="AU108" s="1767">
        <v>0</v>
      </c>
      <c r="AV108" s="1767">
        <v>0</v>
      </c>
      <c r="AW108" s="1767">
        <v>0</v>
      </c>
      <c r="AX108" s="1767">
        <v>0</v>
      </c>
      <c r="AY108" s="1767">
        <v>0</v>
      </c>
      <c r="AZ108" s="1767">
        <v>0</v>
      </c>
      <c r="BA108" s="1767">
        <v>0</v>
      </c>
      <c r="BB108" s="1767">
        <v>0</v>
      </c>
      <c r="BC108" s="1767">
        <v>0</v>
      </c>
      <c r="BD108" s="1767">
        <v>0</v>
      </c>
      <c r="BE108" s="1767">
        <v>0</v>
      </c>
      <c r="BF108" s="1767">
        <v>0</v>
      </c>
      <c r="BG108" s="1767">
        <v>0</v>
      </c>
      <c r="BH108" s="1767">
        <v>0</v>
      </c>
      <c r="BI108" s="1767">
        <v>0</v>
      </c>
      <c r="BJ108" s="1767">
        <v>0</v>
      </c>
      <c r="BK108" s="1767">
        <v>0</v>
      </c>
      <c r="BL108" s="1767">
        <v>0</v>
      </c>
      <c r="BM108" s="1767">
        <v>0</v>
      </c>
      <c r="BN108" s="1767">
        <v>0</v>
      </c>
      <c r="BO108" s="1767">
        <v>0</v>
      </c>
      <c r="BP108" s="1767">
        <v>0</v>
      </c>
      <c r="BQ108" s="1767">
        <v>0</v>
      </c>
      <c r="BR108" s="1767">
        <v>0</v>
      </c>
      <c r="BS108" s="1767">
        <v>0</v>
      </c>
      <c r="BT108" s="1767">
        <v>0</v>
      </c>
      <c r="BU108" s="1767">
        <v>0</v>
      </c>
      <c r="BV108" s="1767">
        <v>0</v>
      </c>
      <c r="BW108" s="1767">
        <v>0</v>
      </c>
      <c r="BX108" s="1767">
        <v>0</v>
      </c>
      <c r="BY108" s="1767">
        <v>0</v>
      </c>
      <c r="BZ108" s="1767">
        <v>0</v>
      </c>
      <c r="CA108" s="1767">
        <v>0</v>
      </c>
      <c r="CB108" s="1767">
        <v>0</v>
      </c>
      <c r="CC108" s="1767">
        <v>0</v>
      </c>
      <c r="CD108" s="1767">
        <v>0</v>
      </c>
      <c r="CE108" s="1767">
        <v>0</v>
      </c>
      <c r="CF108" s="1767">
        <v>0</v>
      </c>
      <c r="CG108" s="1767">
        <v>0</v>
      </c>
      <c r="CH108" s="1767">
        <v>0</v>
      </c>
      <c r="CI108" s="1767">
        <v>0</v>
      </c>
      <c r="CJ108" s="1767">
        <v>0</v>
      </c>
      <c r="CK108" s="1767">
        <v>0</v>
      </c>
      <c r="CL108" s="1767">
        <v>0</v>
      </c>
      <c r="CM108" s="1767">
        <v>0</v>
      </c>
      <c r="CN108" s="1767">
        <v>0</v>
      </c>
      <c r="CO108" s="1767">
        <v>0</v>
      </c>
      <c r="CP108" s="1767">
        <v>0</v>
      </c>
    </row>
    <row r="109" spans="1:94" ht="30" customHeight="1" thickBot="1" x14ac:dyDescent="0.25">
      <c r="A109" s="1890"/>
      <c r="B109" s="1857"/>
      <c r="C109" s="800" t="s">
        <v>21</v>
      </c>
      <c r="D109" s="936"/>
      <c r="E109" s="1831"/>
      <c r="F109" s="1225"/>
      <c r="G109" s="1767">
        <v>0</v>
      </c>
      <c r="H109" s="1767">
        <v>0</v>
      </c>
      <c r="I109" s="1767">
        <v>0</v>
      </c>
      <c r="J109" s="1767">
        <v>0</v>
      </c>
      <c r="K109" s="1767">
        <v>0</v>
      </c>
      <c r="L109" s="1767">
        <v>0</v>
      </c>
      <c r="M109" s="1767">
        <v>0</v>
      </c>
      <c r="N109" s="1767">
        <v>0</v>
      </c>
      <c r="O109" s="1767">
        <v>0</v>
      </c>
      <c r="P109" s="1767">
        <v>0</v>
      </c>
      <c r="Q109" s="1767">
        <v>0</v>
      </c>
      <c r="R109" s="1767">
        <v>0</v>
      </c>
      <c r="S109" s="1767">
        <v>0</v>
      </c>
      <c r="T109" s="1767">
        <v>0</v>
      </c>
      <c r="U109" s="1767">
        <v>0</v>
      </c>
      <c r="V109" s="1767">
        <v>0</v>
      </c>
      <c r="W109" s="1767">
        <v>0</v>
      </c>
      <c r="X109" s="1767">
        <v>0</v>
      </c>
      <c r="Y109" s="1767">
        <v>0</v>
      </c>
      <c r="Z109" s="1767">
        <v>0</v>
      </c>
      <c r="AA109" s="1767">
        <v>0</v>
      </c>
      <c r="AB109" s="1767">
        <v>0</v>
      </c>
      <c r="AC109" s="1767">
        <v>0</v>
      </c>
      <c r="AD109" s="1767">
        <v>0</v>
      </c>
      <c r="AE109" s="1767">
        <v>0</v>
      </c>
      <c r="AF109" s="1767">
        <v>0</v>
      </c>
      <c r="AG109" s="1767">
        <v>0</v>
      </c>
      <c r="AH109" s="1767">
        <v>0</v>
      </c>
      <c r="AI109" s="1767">
        <v>0</v>
      </c>
      <c r="AJ109" s="1767">
        <v>0</v>
      </c>
      <c r="AK109" s="1767">
        <v>0</v>
      </c>
      <c r="AL109" s="1767">
        <v>0</v>
      </c>
      <c r="AM109" s="1767">
        <v>0</v>
      </c>
      <c r="AN109" s="1767">
        <v>0</v>
      </c>
      <c r="AO109" s="1767">
        <v>0</v>
      </c>
      <c r="AP109" s="1767">
        <v>0</v>
      </c>
      <c r="AQ109" s="1767">
        <v>0</v>
      </c>
      <c r="AR109" s="1767">
        <v>0</v>
      </c>
      <c r="AS109" s="1767">
        <v>0</v>
      </c>
      <c r="AT109" s="1767">
        <v>0</v>
      </c>
      <c r="AU109" s="1767">
        <v>0</v>
      </c>
      <c r="AV109" s="1767">
        <v>0</v>
      </c>
      <c r="AW109" s="1767">
        <v>0</v>
      </c>
      <c r="AX109" s="1767">
        <v>0</v>
      </c>
      <c r="AY109" s="1767">
        <v>0</v>
      </c>
      <c r="AZ109" s="1767">
        <v>0</v>
      </c>
      <c r="BA109" s="1767">
        <v>0</v>
      </c>
      <c r="BB109" s="1767">
        <v>0</v>
      </c>
      <c r="BC109" s="1767">
        <v>0</v>
      </c>
      <c r="BD109" s="1767">
        <v>0</v>
      </c>
      <c r="BE109" s="1767">
        <v>0</v>
      </c>
      <c r="BF109" s="1767">
        <v>0</v>
      </c>
      <c r="BG109" s="1767">
        <v>0</v>
      </c>
      <c r="BH109" s="1767">
        <v>0</v>
      </c>
      <c r="BI109" s="1767">
        <v>0</v>
      </c>
      <c r="BJ109" s="1767">
        <v>0</v>
      </c>
      <c r="BK109" s="1767">
        <v>0</v>
      </c>
      <c r="BL109" s="1767">
        <v>0</v>
      </c>
      <c r="BM109" s="1767">
        <v>0</v>
      </c>
      <c r="BN109" s="1767">
        <v>0</v>
      </c>
      <c r="BO109" s="1767">
        <v>0</v>
      </c>
      <c r="BP109" s="1767">
        <v>0</v>
      </c>
      <c r="BQ109" s="1767">
        <v>0</v>
      </c>
      <c r="BR109" s="1767">
        <v>0</v>
      </c>
      <c r="BS109" s="1767">
        <v>0</v>
      </c>
      <c r="BT109" s="1767">
        <v>0</v>
      </c>
      <c r="BU109" s="1767">
        <v>0</v>
      </c>
      <c r="BV109" s="1767">
        <v>0</v>
      </c>
      <c r="BW109" s="1767">
        <v>0</v>
      </c>
      <c r="BX109" s="1767">
        <v>0</v>
      </c>
      <c r="BY109" s="1767">
        <v>0</v>
      </c>
      <c r="BZ109" s="1767">
        <v>0</v>
      </c>
      <c r="CA109" s="1767">
        <v>0</v>
      </c>
      <c r="CB109" s="1767">
        <v>0</v>
      </c>
      <c r="CC109" s="1767">
        <v>0</v>
      </c>
      <c r="CD109" s="1767">
        <v>0</v>
      </c>
      <c r="CE109" s="1767">
        <v>0</v>
      </c>
      <c r="CF109" s="1767">
        <v>0</v>
      </c>
      <c r="CG109" s="1767">
        <v>0</v>
      </c>
      <c r="CH109" s="1767">
        <v>0</v>
      </c>
      <c r="CI109" s="1767">
        <v>0</v>
      </c>
      <c r="CJ109" s="1767">
        <v>0</v>
      </c>
      <c r="CK109" s="1767">
        <v>0</v>
      </c>
      <c r="CL109" s="1767">
        <v>0</v>
      </c>
      <c r="CM109" s="1767">
        <v>0</v>
      </c>
      <c r="CN109" s="1767">
        <v>0</v>
      </c>
      <c r="CO109" s="1767">
        <v>0</v>
      </c>
      <c r="CP109" s="1767">
        <v>0</v>
      </c>
    </row>
    <row r="110" spans="1:94" ht="81.75" customHeight="1" thickBot="1" x14ac:dyDescent="0.25">
      <c r="A110" s="1887" t="s">
        <v>1295</v>
      </c>
      <c r="B110" s="1846" t="s">
        <v>638</v>
      </c>
      <c r="C110" s="1777" t="s">
        <v>2517</v>
      </c>
      <c r="D110" s="947"/>
      <c r="E110" s="1830" t="s">
        <v>2369</v>
      </c>
      <c r="F110" s="1225"/>
      <c r="G110" s="1742"/>
      <c r="H110" s="1742"/>
      <c r="I110" s="1742"/>
      <c r="J110" s="1742"/>
      <c r="K110" s="1742"/>
      <c r="L110" s="1742"/>
      <c r="M110" s="1742"/>
      <c r="N110" s="1742"/>
      <c r="O110" s="1742"/>
      <c r="P110" s="1742"/>
      <c r="Q110" s="1742"/>
      <c r="R110" s="1742"/>
      <c r="S110" s="1742"/>
      <c r="T110" s="1742"/>
      <c r="U110" s="1742"/>
      <c r="V110" s="1742"/>
      <c r="W110" s="1742"/>
      <c r="X110" s="1742"/>
      <c r="Y110" s="1742"/>
      <c r="Z110" s="1742"/>
      <c r="AA110" s="1742"/>
      <c r="AB110" s="1742"/>
      <c r="AC110" s="1742"/>
      <c r="AD110" s="1742"/>
      <c r="AE110" s="1742"/>
      <c r="AF110" s="1742"/>
      <c r="AG110" s="1742"/>
      <c r="AH110" s="1742"/>
      <c r="AI110" s="1742"/>
      <c r="AJ110" s="1742"/>
      <c r="AK110" s="1742"/>
      <c r="AL110" s="1742"/>
      <c r="AM110" s="1742"/>
      <c r="AN110" s="1742"/>
      <c r="AO110" s="1742"/>
      <c r="AP110" s="1742"/>
      <c r="AQ110" s="1742"/>
      <c r="AR110" s="1742"/>
      <c r="AS110" s="1742"/>
      <c r="AT110" s="1742"/>
      <c r="AU110" s="1742"/>
      <c r="AV110" s="1742"/>
      <c r="AW110" s="1742"/>
      <c r="AX110" s="1742"/>
      <c r="AY110" s="1742"/>
      <c r="AZ110" s="1742"/>
      <c r="BA110" s="1742"/>
      <c r="BB110" s="1742"/>
      <c r="BC110" s="1742"/>
      <c r="BD110" s="1742"/>
      <c r="BE110" s="1742"/>
      <c r="BF110" s="1742"/>
      <c r="BG110" s="1742"/>
      <c r="BH110" s="1742"/>
      <c r="BI110" s="1742"/>
      <c r="BJ110" s="1742"/>
      <c r="BK110" s="1742"/>
      <c r="BL110" s="1742"/>
      <c r="BM110" s="1742"/>
      <c r="BN110" s="1742"/>
      <c r="BO110" s="1742"/>
      <c r="BP110" s="1742"/>
      <c r="BQ110" s="1742"/>
      <c r="BR110" s="1742"/>
      <c r="BS110" s="1742"/>
      <c r="BT110" s="1742"/>
      <c r="BU110" s="1742"/>
      <c r="BV110" s="1742"/>
      <c r="BW110" s="1742"/>
      <c r="BX110" s="1742"/>
      <c r="BY110" s="1742"/>
      <c r="BZ110" s="1742"/>
      <c r="CA110" s="1742"/>
      <c r="CB110" s="1742"/>
      <c r="CC110" s="1742"/>
      <c r="CD110" s="1742"/>
      <c r="CE110" s="1742"/>
      <c r="CF110" s="1742"/>
      <c r="CG110" s="1742"/>
      <c r="CH110" s="1742"/>
      <c r="CI110" s="1742"/>
      <c r="CJ110" s="1742"/>
      <c r="CK110" s="1742"/>
      <c r="CL110" s="1742"/>
      <c r="CM110" s="1742"/>
      <c r="CN110" s="1742"/>
      <c r="CO110" s="1742"/>
      <c r="CP110" s="1742"/>
    </row>
    <row r="111" spans="1:94" ht="15" customHeight="1" x14ac:dyDescent="0.2">
      <c r="A111" s="1847"/>
      <c r="B111" s="1856"/>
      <c r="C111" s="660" t="s">
        <v>2438</v>
      </c>
      <c r="D111" s="936"/>
      <c r="E111" s="1831"/>
      <c r="F111" s="1225"/>
      <c r="G111" s="1767">
        <v>0</v>
      </c>
      <c r="H111" s="1767">
        <v>0</v>
      </c>
      <c r="I111" s="1767">
        <v>0</v>
      </c>
      <c r="J111" s="1767">
        <v>0</v>
      </c>
      <c r="K111" s="1767">
        <v>0</v>
      </c>
      <c r="L111" s="1767">
        <v>0</v>
      </c>
      <c r="M111" s="1767">
        <v>0</v>
      </c>
      <c r="N111" s="1767">
        <v>0</v>
      </c>
      <c r="O111" s="1767">
        <v>0</v>
      </c>
      <c r="P111" s="1767">
        <v>0</v>
      </c>
      <c r="Q111" s="1767">
        <v>0</v>
      </c>
      <c r="R111" s="1767">
        <v>0</v>
      </c>
      <c r="S111" s="1767">
        <v>0</v>
      </c>
      <c r="T111" s="1767">
        <v>0</v>
      </c>
      <c r="U111" s="1767">
        <v>0</v>
      </c>
      <c r="V111" s="1767">
        <v>0</v>
      </c>
      <c r="W111" s="1767">
        <v>0</v>
      </c>
      <c r="X111" s="1767">
        <v>0</v>
      </c>
      <c r="Y111" s="1767">
        <v>0</v>
      </c>
      <c r="Z111" s="1767">
        <v>0</v>
      </c>
      <c r="AA111" s="1767">
        <v>0</v>
      </c>
      <c r="AB111" s="1767">
        <v>0</v>
      </c>
      <c r="AC111" s="1767">
        <v>0</v>
      </c>
      <c r="AD111" s="1767">
        <v>0</v>
      </c>
      <c r="AE111" s="1767">
        <v>0</v>
      </c>
      <c r="AF111" s="1767">
        <v>0</v>
      </c>
      <c r="AG111" s="1767">
        <v>0</v>
      </c>
      <c r="AH111" s="1767">
        <v>0</v>
      </c>
      <c r="AI111" s="1767">
        <v>0</v>
      </c>
      <c r="AJ111" s="1767">
        <v>0</v>
      </c>
      <c r="AK111" s="1767">
        <v>0</v>
      </c>
      <c r="AL111" s="1767">
        <v>0</v>
      </c>
      <c r="AM111" s="1767">
        <v>0</v>
      </c>
      <c r="AN111" s="1767">
        <v>0</v>
      </c>
      <c r="AO111" s="1767">
        <v>0</v>
      </c>
      <c r="AP111" s="1767">
        <v>0</v>
      </c>
      <c r="AQ111" s="1767">
        <v>0</v>
      </c>
      <c r="AR111" s="1767">
        <v>0</v>
      </c>
      <c r="AS111" s="1767">
        <v>0</v>
      </c>
      <c r="AT111" s="1767">
        <v>0</v>
      </c>
      <c r="AU111" s="1767">
        <v>0</v>
      </c>
      <c r="AV111" s="1767">
        <v>0</v>
      </c>
      <c r="AW111" s="1767">
        <v>0</v>
      </c>
      <c r="AX111" s="1767">
        <v>0</v>
      </c>
      <c r="AY111" s="1767">
        <v>0</v>
      </c>
      <c r="AZ111" s="1767">
        <v>0</v>
      </c>
      <c r="BA111" s="1767">
        <v>0</v>
      </c>
      <c r="BB111" s="1767">
        <v>0</v>
      </c>
      <c r="BC111" s="1767">
        <v>0</v>
      </c>
      <c r="BD111" s="1767">
        <v>0</v>
      </c>
      <c r="BE111" s="1767">
        <v>0</v>
      </c>
      <c r="BF111" s="1767">
        <v>0</v>
      </c>
      <c r="BG111" s="1767">
        <v>0</v>
      </c>
      <c r="BH111" s="1767">
        <v>0</v>
      </c>
      <c r="BI111" s="1767">
        <v>0</v>
      </c>
      <c r="BJ111" s="1767">
        <v>0</v>
      </c>
      <c r="BK111" s="1767">
        <v>0</v>
      </c>
      <c r="BL111" s="1767">
        <v>0</v>
      </c>
      <c r="BM111" s="1767">
        <v>0</v>
      </c>
      <c r="BN111" s="1767">
        <v>0</v>
      </c>
      <c r="BO111" s="1767">
        <v>0</v>
      </c>
      <c r="BP111" s="1767">
        <v>0</v>
      </c>
      <c r="BQ111" s="1767">
        <v>0</v>
      </c>
      <c r="BR111" s="1767">
        <v>0</v>
      </c>
      <c r="BS111" s="1767">
        <v>0</v>
      </c>
      <c r="BT111" s="1767">
        <v>0</v>
      </c>
      <c r="BU111" s="1767">
        <v>0</v>
      </c>
      <c r="BV111" s="1767">
        <v>0</v>
      </c>
      <c r="BW111" s="1767">
        <v>0</v>
      </c>
      <c r="BX111" s="1767">
        <v>0</v>
      </c>
      <c r="BY111" s="1767">
        <v>0</v>
      </c>
      <c r="BZ111" s="1767">
        <v>0</v>
      </c>
      <c r="CA111" s="1767">
        <v>0</v>
      </c>
      <c r="CB111" s="1767">
        <v>0</v>
      </c>
      <c r="CC111" s="1767">
        <v>0</v>
      </c>
      <c r="CD111" s="1767">
        <v>0</v>
      </c>
      <c r="CE111" s="1767">
        <v>0</v>
      </c>
      <c r="CF111" s="1767">
        <v>0</v>
      </c>
      <c r="CG111" s="1767">
        <v>0</v>
      </c>
      <c r="CH111" s="1767">
        <v>0</v>
      </c>
      <c r="CI111" s="1767">
        <v>0</v>
      </c>
      <c r="CJ111" s="1767">
        <v>0</v>
      </c>
      <c r="CK111" s="1767">
        <v>0</v>
      </c>
      <c r="CL111" s="1767">
        <v>0</v>
      </c>
      <c r="CM111" s="1767">
        <v>0</v>
      </c>
      <c r="CN111" s="1767">
        <v>0</v>
      </c>
      <c r="CO111" s="1767">
        <v>0</v>
      </c>
      <c r="CP111" s="1767">
        <v>0</v>
      </c>
    </row>
    <row r="112" spans="1:94" ht="27" customHeight="1" x14ac:dyDescent="0.2">
      <c r="A112" s="1847"/>
      <c r="B112" s="1856"/>
      <c r="C112" s="652" t="s">
        <v>609</v>
      </c>
      <c r="D112" s="936"/>
      <c r="E112" s="1831"/>
      <c r="F112" s="1225"/>
      <c r="G112" s="1767">
        <v>0</v>
      </c>
      <c r="H112" s="1767">
        <v>0</v>
      </c>
      <c r="I112" s="1767">
        <v>0</v>
      </c>
      <c r="J112" s="1767">
        <v>0</v>
      </c>
      <c r="K112" s="1767">
        <v>0</v>
      </c>
      <c r="L112" s="1767">
        <v>0</v>
      </c>
      <c r="M112" s="1767">
        <v>0</v>
      </c>
      <c r="N112" s="1767">
        <v>0</v>
      </c>
      <c r="O112" s="1767">
        <v>0</v>
      </c>
      <c r="P112" s="1767">
        <v>0</v>
      </c>
      <c r="Q112" s="1767">
        <v>0</v>
      </c>
      <c r="R112" s="1767">
        <v>0</v>
      </c>
      <c r="S112" s="1767">
        <v>0</v>
      </c>
      <c r="T112" s="1767">
        <v>0</v>
      </c>
      <c r="U112" s="1767">
        <v>0</v>
      </c>
      <c r="V112" s="1767">
        <v>0</v>
      </c>
      <c r="W112" s="1767">
        <v>0</v>
      </c>
      <c r="X112" s="1767">
        <v>0</v>
      </c>
      <c r="Y112" s="1767">
        <v>0</v>
      </c>
      <c r="Z112" s="1767">
        <v>0</v>
      </c>
      <c r="AA112" s="1767">
        <v>0</v>
      </c>
      <c r="AB112" s="1767">
        <v>0</v>
      </c>
      <c r="AC112" s="1767">
        <v>0</v>
      </c>
      <c r="AD112" s="1767">
        <v>0</v>
      </c>
      <c r="AE112" s="1767">
        <v>0</v>
      </c>
      <c r="AF112" s="1767">
        <v>0</v>
      </c>
      <c r="AG112" s="1767">
        <v>0</v>
      </c>
      <c r="AH112" s="1767">
        <v>0</v>
      </c>
      <c r="AI112" s="1767">
        <v>0</v>
      </c>
      <c r="AJ112" s="1767">
        <v>0</v>
      </c>
      <c r="AK112" s="1767">
        <v>0</v>
      </c>
      <c r="AL112" s="1767">
        <v>0</v>
      </c>
      <c r="AM112" s="1767">
        <v>0</v>
      </c>
      <c r="AN112" s="1767">
        <v>0</v>
      </c>
      <c r="AO112" s="1767">
        <v>0</v>
      </c>
      <c r="AP112" s="1767">
        <v>0</v>
      </c>
      <c r="AQ112" s="1767">
        <v>0</v>
      </c>
      <c r="AR112" s="1767">
        <v>0</v>
      </c>
      <c r="AS112" s="1767">
        <v>0</v>
      </c>
      <c r="AT112" s="1767">
        <v>0</v>
      </c>
      <c r="AU112" s="1767">
        <v>0</v>
      </c>
      <c r="AV112" s="1767">
        <v>0</v>
      </c>
      <c r="AW112" s="1767">
        <v>0</v>
      </c>
      <c r="AX112" s="1767">
        <v>0</v>
      </c>
      <c r="AY112" s="1767">
        <v>0</v>
      </c>
      <c r="AZ112" s="1767">
        <v>0</v>
      </c>
      <c r="BA112" s="1767">
        <v>0</v>
      </c>
      <c r="BB112" s="1767">
        <v>0</v>
      </c>
      <c r="BC112" s="1767">
        <v>0</v>
      </c>
      <c r="BD112" s="1767">
        <v>0</v>
      </c>
      <c r="BE112" s="1767">
        <v>0</v>
      </c>
      <c r="BF112" s="1767">
        <v>0</v>
      </c>
      <c r="BG112" s="1767">
        <v>0</v>
      </c>
      <c r="BH112" s="1767">
        <v>0</v>
      </c>
      <c r="BI112" s="1767">
        <v>0</v>
      </c>
      <c r="BJ112" s="1767">
        <v>0</v>
      </c>
      <c r="BK112" s="1767">
        <v>0</v>
      </c>
      <c r="BL112" s="1767">
        <v>0</v>
      </c>
      <c r="BM112" s="1767">
        <v>0</v>
      </c>
      <c r="BN112" s="1767">
        <v>0</v>
      </c>
      <c r="BO112" s="1767">
        <v>0</v>
      </c>
      <c r="BP112" s="1767">
        <v>0</v>
      </c>
      <c r="BQ112" s="1767">
        <v>0</v>
      </c>
      <c r="BR112" s="1767">
        <v>0</v>
      </c>
      <c r="BS112" s="1767">
        <v>0</v>
      </c>
      <c r="BT112" s="1767">
        <v>0</v>
      </c>
      <c r="BU112" s="1767">
        <v>0</v>
      </c>
      <c r="BV112" s="1767">
        <v>0</v>
      </c>
      <c r="BW112" s="1767">
        <v>0</v>
      </c>
      <c r="BX112" s="1767">
        <v>0</v>
      </c>
      <c r="BY112" s="1767">
        <v>0</v>
      </c>
      <c r="BZ112" s="1767">
        <v>0</v>
      </c>
      <c r="CA112" s="1767">
        <v>0</v>
      </c>
      <c r="CB112" s="1767">
        <v>0</v>
      </c>
      <c r="CC112" s="1767">
        <v>0</v>
      </c>
      <c r="CD112" s="1767">
        <v>0</v>
      </c>
      <c r="CE112" s="1767">
        <v>0</v>
      </c>
      <c r="CF112" s="1767">
        <v>0</v>
      </c>
      <c r="CG112" s="1767">
        <v>0</v>
      </c>
      <c r="CH112" s="1767">
        <v>0</v>
      </c>
      <c r="CI112" s="1767">
        <v>0</v>
      </c>
      <c r="CJ112" s="1767">
        <v>0</v>
      </c>
      <c r="CK112" s="1767">
        <v>0</v>
      </c>
      <c r="CL112" s="1767">
        <v>0</v>
      </c>
      <c r="CM112" s="1767">
        <v>0</v>
      </c>
      <c r="CN112" s="1767">
        <v>0</v>
      </c>
      <c r="CO112" s="1767">
        <v>0</v>
      </c>
      <c r="CP112" s="1767">
        <v>0</v>
      </c>
    </row>
    <row r="113" spans="1:94" ht="15" customHeight="1" x14ac:dyDescent="0.2">
      <c r="A113" s="1847"/>
      <c r="B113" s="1856"/>
      <c r="C113" s="653" t="s">
        <v>1328</v>
      </c>
      <c r="D113" s="936"/>
      <c r="E113" s="1831"/>
      <c r="F113" s="1225"/>
      <c r="G113" s="1767">
        <v>0</v>
      </c>
      <c r="H113" s="1767">
        <v>0</v>
      </c>
      <c r="I113" s="1767">
        <v>0</v>
      </c>
      <c r="J113" s="1767">
        <v>0</v>
      </c>
      <c r="K113" s="1767">
        <v>0</v>
      </c>
      <c r="L113" s="1767">
        <v>0</v>
      </c>
      <c r="M113" s="1767">
        <v>0</v>
      </c>
      <c r="N113" s="1767">
        <v>0</v>
      </c>
      <c r="O113" s="1767">
        <v>0</v>
      </c>
      <c r="P113" s="1767">
        <v>0</v>
      </c>
      <c r="Q113" s="1767">
        <v>0</v>
      </c>
      <c r="R113" s="1767">
        <v>0</v>
      </c>
      <c r="S113" s="1767">
        <v>0</v>
      </c>
      <c r="T113" s="1767">
        <v>0</v>
      </c>
      <c r="U113" s="1767">
        <v>0</v>
      </c>
      <c r="V113" s="1767">
        <v>0</v>
      </c>
      <c r="W113" s="1767">
        <v>0</v>
      </c>
      <c r="X113" s="1767">
        <v>0</v>
      </c>
      <c r="Y113" s="1767">
        <v>0</v>
      </c>
      <c r="Z113" s="1767">
        <v>0</v>
      </c>
      <c r="AA113" s="1767">
        <v>0</v>
      </c>
      <c r="AB113" s="1767">
        <v>0</v>
      </c>
      <c r="AC113" s="1767">
        <v>0</v>
      </c>
      <c r="AD113" s="1767">
        <v>0</v>
      </c>
      <c r="AE113" s="1767">
        <v>0</v>
      </c>
      <c r="AF113" s="1767">
        <v>0</v>
      </c>
      <c r="AG113" s="1767">
        <v>0</v>
      </c>
      <c r="AH113" s="1767">
        <v>0</v>
      </c>
      <c r="AI113" s="1767">
        <v>0</v>
      </c>
      <c r="AJ113" s="1767">
        <v>0</v>
      </c>
      <c r="AK113" s="1767">
        <v>0</v>
      </c>
      <c r="AL113" s="1767">
        <v>0</v>
      </c>
      <c r="AM113" s="1767">
        <v>0</v>
      </c>
      <c r="AN113" s="1767">
        <v>0</v>
      </c>
      <c r="AO113" s="1767">
        <v>0</v>
      </c>
      <c r="AP113" s="1767">
        <v>0</v>
      </c>
      <c r="AQ113" s="1767">
        <v>0</v>
      </c>
      <c r="AR113" s="1767">
        <v>0</v>
      </c>
      <c r="AS113" s="1767">
        <v>0</v>
      </c>
      <c r="AT113" s="1767">
        <v>0</v>
      </c>
      <c r="AU113" s="1767">
        <v>0</v>
      </c>
      <c r="AV113" s="1767">
        <v>0</v>
      </c>
      <c r="AW113" s="1767">
        <v>0</v>
      </c>
      <c r="AX113" s="1767">
        <v>0</v>
      </c>
      <c r="AY113" s="1767">
        <v>0</v>
      </c>
      <c r="AZ113" s="1767">
        <v>0</v>
      </c>
      <c r="BA113" s="1767">
        <v>0</v>
      </c>
      <c r="BB113" s="1767">
        <v>0</v>
      </c>
      <c r="BC113" s="1767">
        <v>0</v>
      </c>
      <c r="BD113" s="1767">
        <v>0</v>
      </c>
      <c r="BE113" s="1767">
        <v>0</v>
      </c>
      <c r="BF113" s="1767">
        <v>0</v>
      </c>
      <c r="BG113" s="1767">
        <v>0</v>
      </c>
      <c r="BH113" s="1767">
        <v>0</v>
      </c>
      <c r="BI113" s="1767">
        <v>0</v>
      </c>
      <c r="BJ113" s="1767">
        <v>0</v>
      </c>
      <c r="BK113" s="1767">
        <v>0</v>
      </c>
      <c r="BL113" s="1767">
        <v>0</v>
      </c>
      <c r="BM113" s="1767">
        <v>0</v>
      </c>
      <c r="BN113" s="1767">
        <v>0</v>
      </c>
      <c r="BO113" s="1767">
        <v>0</v>
      </c>
      <c r="BP113" s="1767">
        <v>0</v>
      </c>
      <c r="BQ113" s="1767">
        <v>0</v>
      </c>
      <c r="BR113" s="1767">
        <v>0</v>
      </c>
      <c r="BS113" s="1767">
        <v>0</v>
      </c>
      <c r="BT113" s="1767">
        <v>0</v>
      </c>
      <c r="BU113" s="1767">
        <v>0</v>
      </c>
      <c r="BV113" s="1767">
        <v>0</v>
      </c>
      <c r="BW113" s="1767">
        <v>0</v>
      </c>
      <c r="BX113" s="1767">
        <v>0</v>
      </c>
      <c r="BY113" s="1767">
        <v>0</v>
      </c>
      <c r="BZ113" s="1767">
        <v>0</v>
      </c>
      <c r="CA113" s="1767">
        <v>0</v>
      </c>
      <c r="CB113" s="1767">
        <v>0</v>
      </c>
      <c r="CC113" s="1767">
        <v>0</v>
      </c>
      <c r="CD113" s="1767">
        <v>0</v>
      </c>
      <c r="CE113" s="1767">
        <v>0</v>
      </c>
      <c r="CF113" s="1767">
        <v>0</v>
      </c>
      <c r="CG113" s="1767">
        <v>0</v>
      </c>
      <c r="CH113" s="1767">
        <v>0</v>
      </c>
      <c r="CI113" s="1767">
        <v>0</v>
      </c>
      <c r="CJ113" s="1767">
        <v>0</v>
      </c>
      <c r="CK113" s="1767">
        <v>0</v>
      </c>
      <c r="CL113" s="1767">
        <v>0</v>
      </c>
      <c r="CM113" s="1767">
        <v>0</v>
      </c>
      <c r="CN113" s="1767">
        <v>0</v>
      </c>
      <c r="CO113" s="1767">
        <v>0</v>
      </c>
      <c r="CP113" s="1767">
        <v>0</v>
      </c>
    </row>
    <row r="114" spans="1:94" ht="15" customHeight="1" x14ac:dyDescent="0.2">
      <c r="A114" s="1847"/>
      <c r="B114" s="1856"/>
      <c r="C114" s="653" t="s">
        <v>2233</v>
      </c>
      <c r="D114" s="936"/>
      <c r="E114" s="1831"/>
      <c r="F114" s="1225"/>
      <c r="G114" s="1767">
        <v>0</v>
      </c>
      <c r="H114" s="1767">
        <v>0</v>
      </c>
      <c r="I114" s="1767">
        <v>0</v>
      </c>
      <c r="J114" s="1767">
        <v>0</v>
      </c>
      <c r="K114" s="1767">
        <v>0</v>
      </c>
      <c r="L114" s="1767">
        <v>0</v>
      </c>
      <c r="M114" s="1767">
        <v>0</v>
      </c>
      <c r="N114" s="1767">
        <v>0</v>
      </c>
      <c r="O114" s="1767">
        <v>0</v>
      </c>
      <c r="P114" s="1767">
        <v>0</v>
      </c>
      <c r="Q114" s="1767">
        <v>0</v>
      </c>
      <c r="R114" s="1767">
        <v>0</v>
      </c>
      <c r="S114" s="1767">
        <v>0</v>
      </c>
      <c r="T114" s="1767">
        <v>0</v>
      </c>
      <c r="U114" s="1767">
        <v>0</v>
      </c>
      <c r="V114" s="1767">
        <v>0</v>
      </c>
      <c r="W114" s="1767">
        <v>0</v>
      </c>
      <c r="X114" s="1767">
        <v>0</v>
      </c>
      <c r="Y114" s="1767">
        <v>0</v>
      </c>
      <c r="Z114" s="1767">
        <v>0</v>
      </c>
      <c r="AA114" s="1767">
        <v>0</v>
      </c>
      <c r="AB114" s="1767">
        <v>0</v>
      </c>
      <c r="AC114" s="1767">
        <v>0</v>
      </c>
      <c r="AD114" s="1767">
        <v>0</v>
      </c>
      <c r="AE114" s="1767">
        <v>0</v>
      </c>
      <c r="AF114" s="1767">
        <v>0</v>
      </c>
      <c r="AG114" s="1767">
        <v>0</v>
      </c>
      <c r="AH114" s="1767">
        <v>0</v>
      </c>
      <c r="AI114" s="1767">
        <v>0</v>
      </c>
      <c r="AJ114" s="1767">
        <v>0</v>
      </c>
      <c r="AK114" s="1767">
        <v>0</v>
      </c>
      <c r="AL114" s="1767">
        <v>0</v>
      </c>
      <c r="AM114" s="1767">
        <v>0</v>
      </c>
      <c r="AN114" s="1767">
        <v>0</v>
      </c>
      <c r="AO114" s="1767">
        <v>0</v>
      </c>
      <c r="AP114" s="1767">
        <v>0</v>
      </c>
      <c r="AQ114" s="1767">
        <v>0</v>
      </c>
      <c r="AR114" s="1767">
        <v>0</v>
      </c>
      <c r="AS114" s="1767">
        <v>0</v>
      </c>
      <c r="AT114" s="1767">
        <v>0</v>
      </c>
      <c r="AU114" s="1767">
        <v>0</v>
      </c>
      <c r="AV114" s="1767">
        <v>0</v>
      </c>
      <c r="AW114" s="1767">
        <v>0</v>
      </c>
      <c r="AX114" s="1767">
        <v>0</v>
      </c>
      <c r="AY114" s="1767">
        <v>0</v>
      </c>
      <c r="AZ114" s="1767">
        <v>0</v>
      </c>
      <c r="BA114" s="1767">
        <v>0</v>
      </c>
      <c r="BB114" s="1767">
        <v>0</v>
      </c>
      <c r="BC114" s="1767">
        <v>0</v>
      </c>
      <c r="BD114" s="1767">
        <v>0</v>
      </c>
      <c r="BE114" s="1767">
        <v>0</v>
      </c>
      <c r="BF114" s="1767">
        <v>0</v>
      </c>
      <c r="BG114" s="1767">
        <v>0</v>
      </c>
      <c r="BH114" s="1767">
        <v>0</v>
      </c>
      <c r="BI114" s="1767">
        <v>0</v>
      </c>
      <c r="BJ114" s="1767">
        <v>0</v>
      </c>
      <c r="BK114" s="1767">
        <v>0</v>
      </c>
      <c r="BL114" s="1767">
        <v>0</v>
      </c>
      <c r="BM114" s="1767">
        <v>0</v>
      </c>
      <c r="BN114" s="1767">
        <v>0</v>
      </c>
      <c r="BO114" s="1767">
        <v>0</v>
      </c>
      <c r="BP114" s="1767">
        <v>0</v>
      </c>
      <c r="BQ114" s="1767">
        <v>0</v>
      </c>
      <c r="BR114" s="1767">
        <v>0</v>
      </c>
      <c r="BS114" s="1767">
        <v>0</v>
      </c>
      <c r="BT114" s="1767">
        <v>0</v>
      </c>
      <c r="BU114" s="1767">
        <v>0</v>
      </c>
      <c r="BV114" s="1767">
        <v>0</v>
      </c>
      <c r="BW114" s="1767">
        <v>0</v>
      </c>
      <c r="BX114" s="1767">
        <v>0</v>
      </c>
      <c r="BY114" s="1767">
        <v>0</v>
      </c>
      <c r="BZ114" s="1767">
        <v>0</v>
      </c>
      <c r="CA114" s="1767">
        <v>0</v>
      </c>
      <c r="CB114" s="1767">
        <v>0</v>
      </c>
      <c r="CC114" s="1767">
        <v>0</v>
      </c>
      <c r="CD114" s="1767">
        <v>0</v>
      </c>
      <c r="CE114" s="1767">
        <v>0</v>
      </c>
      <c r="CF114" s="1767">
        <v>0</v>
      </c>
      <c r="CG114" s="1767">
        <v>0</v>
      </c>
      <c r="CH114" s="1767">
        <v>0</v>
      </c>
      <c r="CI114" s="1767">
        <v>0</v>
      </c>
      <c r="CJ114" s="1767">
        <v>0</v>
      </c>
      <c r="CK114" s="1767">
        <v>0</v>
      </c>
      <c r="CL114" s="1767">
        <v>0</v>
      </c>
      <c r="CM114" s="1767">
        <v>0</v>
      </c>
      <c r="CN114" s="1767">
        <v>0</v>
      </c>
      <c r="CO114" s="1767">
        <v>0</v>
      </c>
      <c r="CP114" s="1767">
        <v>0</v>
      </c>
    </row>
    <row r="115" spans="1:94" ht="15" customHeight="1" thickBot="1" x14ac:dyDescent="0.25">
      <c r="A115" s="1848"/>
      <c r="B115" s="1857"/>
      <c r="C115" s="654" t="s">
        <v>2234</v>
      </c>
      <c r="D115" s="950"/>
      <c r="E115" s="1832"/>
      <c r="F115" s="1225"/>
      <c r="G115" s="1767">
        <v>0</v>
      </c>
      <c r="H115" s="1767">
        <v>0</v>
      </c>
      <c r="I115" s="1767">
        <v>0</v>
      </c>
      <c r="J115" s="1767">
        <v>0</v>
      </c>
      <c r="K115" s="1767">
        <v>0</v>
      </c>
      <c r="L115" s="1767">
        <v>0</v>
      </c>
      <c r="M115" s="1767">
        <v>0</v>
      </c>
      <c r="N115" s="1767">
        <v>0</v>
      </c>
      <c r="O115" s="1767">
        <v>0</v>
      </c>
      <c r="P115" s="1767">
        <v>0</v>
      </c>
      <c r="Q115" s="1767">
        <v>0</v>
      </c>
      <c r="R115" s="1767">
        <v>0</v>
      </c>
      <c r="S115" s="1767">
        <v>0</v>
      </c>
      <c r="T115" s="1767">
        <v>0</v>
      </c>
      <c r="U115" s="1767">
        <v>0</v>
      </c>
      <c r="V115" s="1767">
        <v>0</v>
      </c>
      <c r="W115" s="1767">
        <v>0</v>
      </c>
      <c r="X115" s="1767">
        <v>0</v>
      </c>
      <c r="Y115" s="1767">
        <v>0</v>
      </c>
      <c r="Z115" s="1767">
        <v>0</v>
      </c>
      <c r="AA115" s="1767">
        <v>0</v>
      </c>
      <c r="AB115" s="1767">
        <v>0</v>
      </c>
      <c r="AC115" s="1767">
        <v>0</v>
      </c>
      <c r="AD115" s="1767">
        <v>0</v>
      </c>
      <c r="AE115" s="1767">
        <v>0</v>
      </c>
      <c r="AF115" s="1767">
        <v>0</v>
      </c>
      <c r="AG115" s="1767">
        <v>0</v>
      </c>
      <c r="AH115" s="1767">
        <v>0</v>
      </c>
      <c r="AI115" s="1767">
        <v>0</v>
      </c>
      <c r="AJ115" s="1767">
        <v>0</v>
      </c>
      <c r="AK115" s="1767">
        <v>0</v>
      </c>
      <c r="AL115" s="1767">
        <v>0</v>
      </c>
      <c r="AM115" s="1767">
        <v>0</v>
      </c>
      <c r="AN115" s="1767">
        <v>0</v>
      </c>
      <c r="AO115" s="1767">
        <v>0</v>
      </c>
      <c r="AP115" s="1767">
        <v>0</v>
      </c>
      <c r="AQ115" s="1767">
        <v>0</v>
      </c>
      <c r="AR115" s="1767">
        <v>0</v>
      </c>
      <c r="AS115" s="1767">
        <v>0</v>
      </c>
      <c r="AT115" s="1767">
        <v>0</v>
      </c>
      <c r="AU115" s="1767">
        <v>0</v>
      </c>
      <c r="AV115" s="1767">
        <v>0</v>
      </c>
      <c r="AW115" s="1767">
        <v>0</v>
      </c>
      <c r="AX115" s="1767">
        <v>0</v>
      </c>
      <c r="AY115" s="1767">
        <v>0</v>
      </c>
      <c r="AZ115" s="1767">
        <v>0</v>
      </c>
      <c r="BA115" s="1767">
        <v>0</v>
      </c>
      <c r="BB115" s="1767">
        <v>0</v>
      </c>
      <c r="BC115" s="1767">
        <v>0</v>
      </c>
      <c r="BD115" s="1767">
        <v>0</v>
      </c>
      <c r="BE115" s="1767">
        <v>0</v>
      </c>
      <c r="BF115" s="1767">
        <v>0</v>
      </c>
      <c r="BG115" s="1767">
        <v>0</v>
      </c>
      <c r="BH115" s="1767">
        <v>0</v>
      </c>
      <c r="BI115" s="1767">
        <v>0</v>
      </c>
      <c r="BJ115" s="1767">
        <v>0</v>
      </c>
      <c r="BK115" s="1767">
        <v>0</v>
      </c>
      <c r="BL115" s="1767">
        <v>0</v>
      </c>
      <c r="BM115" s="1767">
        <v>0</v>
      </c>
      <c r="BN115" s="1767">
        <v>0</v>
      </c>
      <c r="BO115" s="1767">
        <v>0</v>
      </c>
      <c r="BP115" s="1767">
        <v>0</v>
      </c>
      <c r="BQ115" s="1767">
        <v>0</v>
      </c>
      <c r="BR115" s="1767">
        <v>0</v>
      </c>
      <c r="BS115" s="1767">
        <v>0</v>
      </c>
      <c r="BT115" s="1767">
        <v>0</v>
      </c>
      <c r="BU115" s="1767">
        <v>0</v>
      </c>
      <c r="BV115" s="1767">
        <v>0</v>
      </c>
      <c r="BW115" s="1767">
        <v>0</v>
      </c>
      <c r="BX115" s="1767">
        <v>0</v>
      </c>
      <c r="BY115" s="1767">
        <v>0</v>
      </c>
      <c r="BZ115" s="1767">
        <v>0</v>
      </c>
      <c r="CA115" s="1767">
        <v>0</v>
      </c>
      <c r="CB115" s="1767">
        <v>0</v>
      </c>
      <c r="CC115" s="1767">
        <v>0</v>
      </c>
      <c r="CD115" s="1767">
        <v>0</v>
      </c>
      <c r="CE115" s="1767">
        <v>0</v>
      </c>
      <c r="CF115" s="1767">
        <v>0</v>
      </c>
      <c r="CG115" s="1767">
        <v>0</v>
      </c>
      <c r="CH115" s="1767">
        <v>0</v>
      </c>
      <c r="CI115" s="1767">
        <v>0</v>
      </c>
      <c r="CJ115" s="1767">
        <v>0</v>
      </c>
      <c r="CK115" s="1767">
        <v>0</v>
      </c>
      <c r="CL115" s="1767">
        <v>0</v>
      </c>
      <c r="CM115" s="1767">
        <v>0</v>
      </c>
      <c r="CN115" s="1767">
        <v>0</v>
      </c>
      <c r="CO115" s="1767">
        <v>0</v>
      </c>
      <c r="CP115" s="1767">
        <v>0</v>
      </c>
    </row>
    <row r="116" spans="1:94" ht="30" customHeight="1" thickBot="1" x14ac:dyDescent="0.25">
      <c r="A116" s="1889" t="s">
        <v>1296</v>
      </c>
      <c r="B116" s="1856" t="s">
        <v>607</v>
      </c>
      <c r="C116" s="1778" t="s">
        <v>2324</v>
      </c>
      <c r="D116" s="946"/>
      <c r="E116" s="1831" t="s">
        <v>2370</v>
      </c>
      <c r="F116" s="1225"/>
      <c r="G116" s="1742"/>
      <c r="H116" s="1742"/>
      <c r="I116" s="1742"/>
      <c r="J116" s="1742"/>
      <c r="K116" s="1742"/>
      <c r="L116" s="1742"/>
      <c r="M116" s="1742"/>
      <c r="N116" s="1742"/>
      <c r="O116" s="1742"/>
      <c r="P116" s="1742"/>
      <c r="Q116" s="1742"/>
      <c r="R116" s="1742"/>
      <c r="S116" s="1742"/>
      <c r="T116" s="1742"/>
      <c r="U116" s="1742"/>
      <c r="V116" s="1742"/>
      <c r="W116" s="1742"/>
      <c r="X116" s="1742"/>
      <c r="Y116" s="1742"/>
      <c r="Z116" s="1742"/>
      <c r="AA116" s="1742"/>
      <c r="AB116" s="1742"/>
      <c r="AC116" s="1742"/>
      <c r="AD116" s="1742"/>
      <c r="AE116" s="1742"/>
      <c r="AF116" s="1742"/>
      <c r="AG116" s="1742"/>
      <c r="AH116" s="1742"/>
      <c r="AI116" s="1742"/>
      <c r="AJ116" s="1742"/>
      <c r="AK116" s="1742"/>
      <c r="AL116" s="1742"/>
      <c r="AM116" s="1742"/>
      <c r="AN116" s="1742"/>
      <c r="AO116" s="1742"/>
      <c r="AP116" s="1742"/>
      <c r="AQ116" s="1742"/>
      <c r="AR116" s="1742"/>
      <c r="AS116" s="1742"/>
      <c r="AT116" s="1742"/>
      <c r="AU116" s="1742"/>
      <c r="AV116" s="1742"/>
      <c r="AW116" s="1742"/>
      <c r="AX116" s="1742"/>
      <c r="AY116" s="1742"/>
      <c r="AZ116" s="1742"/>
      <c r="BA116" s="1742"/>
      <c r="BB116" s="1742"/>
      <c r="BC116" s="1742"/>
      <c r="BD116" s="1742"/>
      <c r="BE116" s="1742"/>
      <c r="BF116" s="1742"/>
      <c r="BG116" s="1742"/>
      <c r="BH116" s="1742"/>
      <c r="BI116" s="1742"/>
      <c r="BJ116" s="1742"/>
      <c r="BK116" s="1742"/>
      <c r="BL116" s="1742"/>
      <c r="BM116" s="1742"/>
      <c r="BN116" s="1742"/>
      <c r="BO116" s="1742"/>
      <c r="BP116" s="1742"/>
      <c r="BQ116" s="1742"/>
      <c r="BR116" s="1742"/>
      <c r="BS116" s="1742"/>
      <c r="BT116" s="1742"/>
      <c r="BU116" s="1742"/>
      <c r="BV116" s="1742"/>
      <c r="BW116" s="1742"/>
      <c r="BX116" s="1742"/>
      <c r="BY116" s="1742"/>
      <c r="BZ116" s="1742"/>
      <c r="CA116" s="1742"/>
      <c r="CB116" s="1742"/>
      <c r="CC116" s="1742"/>
      <c r="CD116" s="1742"/>
      <c r="CE116" s="1742"/>
      <c r="CF116" s="1742"/>
      <c r="CG116" s="1742"/>
      <c r="CH116" s="1742"/>
      <c r="CI116" s="1742"/>
      <c r="CJ116" s="1742"/>
      <c r="CK116" s="1742"/>
      <c r="CL116" s="1742"/>
      <c r="CM116" s="1742"/>
      <c r="CN116" s="1742"/>
      <c r="CO116" s="1742"/>
      <c r="CP116" s="1742"/>
    </row>
    <row r="117" spans="1:94" ht="15" customHeight="1" x14ac:dyDescent="0.2">
      <c r="A117" s="1889"/>
      <c r="B117" s="1856"/>
      <c r="C117" s="664" t="s">
        <v>2342</v>
      </c>
      <c r="D117" s="936"/>
      <c r="E117" s="1831"/>
      <c r="F117" s="1225"/>
      <c r="G117" s="1767">
        <v>0</v>
      </c>
      <c r="H117" s="1767">
        <v>0</v>
      </c>
      <c r="I117" s="1767">
        <v>0</v>
      </c>
      <c r="J117" s="1767">
        <v>0</v>
      </c>
      <c r="K117" s="1767">
        <v>0</v>
      </c>
      <c r="L117" s="1767">
        <v>0</v>
      </c>
      <c r="M117" s="1767">
        <v>0</v>
      </c>
      <c r="N117" s="1767">
        <v>0</v>
      </c>
      <c r="O117" s="1767">
        <v>0</v>
      </c>
      <c r="P117" s="1767">
        <v>0</v>
      </c>
      <c r="Q117" s="1767">
        <v>0</v>
      </c>
      <c r="R117" s="1767">
        <v>0</v>
      </c>
      <c r="S117" s="1767">
        <v>0</v>
      </c>
      <c r="T117" s="1767">
        <v>0</v>
      </c>
      <c r="U117" s="1767">
        <v>0</v>
      </c>
      <c r="V117" s="1767">
        <v>0</v>
      </c>
      <c r="W117" s="1767">
        <v>0</v>
      </c>
      <c r="X117" s="1767">
        <v>0</v>
      </c>
      <c r="Y117" s="1767">
        <v>0</v>
      </c>
      <c r="Z117" s="1767">
        <v>0</v>
      </c>
      <c r="AA117" s="1767">
        <v>0</v>
      </c>
      <c r="AB117" s="1767">
        <v>0</v>
      </c>
      <c r="AC117" s="1767">
        <v>0</v>
      </c>
      <c r="AD117" s="1767">
        <v>0</v>
      </c>
      <c r="AE117" s="1767">
        <v>0</v>
      </c>
      <c r="AF117" s="1767">
        <v>0</v>
      </c>
      <c r="AG117" s="1767">
        <v>0</v>
      </c>
      <c r="AH117" s="1767">
        <v>0</v>
      </c>
      <c r="AI117" s="1767">
        <v>0</v>
      </c>
      <c r="AJ117" s="1767">
        <v>0</v>
      </c>
      <c r="AK117" s="1767">
        <v>0</v>
      </c>
      <c r="AL117" s="1767">
        <v>0</v>
      </c>
      <c r="AM117" s="1767">
        <v>0</v>
      </c>
      <c r="AN117" s="1767">
        <v>0</v>
      </c>
      <c r="AO117" s="1767">
        <v>0</v>
      </c>
      <c r="AP117" s="1767">
        <v>0</v>
      </c>
      <c r="AQ117" s="1767">
        <v>0</v>
      </c>
      <c r="AR117" s="1767">
        <v>0</v>
      </c>
      <c r="AS117" s="1767">
        <v>0</v>
      </c>
      <c r="AT117" s="1767">
        <v>0</v>
      </c>
      <c r="AU117" s="1767">
        <v>0</v>
      </c>
      <c r="AV117" s="1767">
        <v>0</v>
      </c>
      <c r="AW117" s="1767">
        <v>0</v>
      </c>
      <c r="AX117" s="1767">
        <v>0</v>
      </c>
      <c r="AY117" s="1767">
        <v>0</v>
      </c>
      <c r="AZ117" s="1767">
        <v>0</v>
      </c>
      <c r="BA117" s="1767">
        <v>0</v>
      </c>
      <c r="BB117" s="1767">
        <v>0</v>
      </c>
      <c r="BC117" s="1767">
        <v>0</v>
      </c>
      <c r="BD117" s="1767">
        <v>0</v>
      </c>
      <c r="BE117" s="1767">
        <v>0</v>
      </c>
      <c r="BF117" s="1767">
        <v>0</v>
      </c>
      <c r="BG117" s="1767">
        <v>0</v>
      </c>
      <c r="BH117" s="1767">
        <v>0</v>
      </c>
      <c r="BI117" s="1767">
        <v>0</v>
      </c>
      <c r="BJ117" s="1767">
        <v>0</v>
      </c>
      <c r="BK117" s="1767">
        <v>0</v>
      </c>
      <c r="BL117" s="1767">
        <v>0</v>
      </c>
      <c r="BM117" s="1767">
        <v>0</v>
      </c>
      <c r="BN117" s="1767">
        <v>0</v>
      </c>
      <c r="BO117" s="1767">
        <v>0</v>
      </c>
      <c r="BP117" s="1767">
        <v>0</v>
      </c>
      <c r="BQ117" s="1767">
        <v>0</v>
      </c>
      <c r="BR117" s="1767">
        <v>0</v>
      </c>
      <c r="BS117" s="1767">
        <v>0</v>
      </c>
      <c r="BT117" s="1767">
        <v>0</v>
      </c>
      <c r="BU117" s="1767">
        <v>0</v>
      </c>
      <c r="BV117" s="1767">
        <v>0</v>
      </c>
      <c r="BW117" s="1767">
        <v>0</v>
      </c>
      <c r="BX117" s="1767">
        <v>0</v>
      </c>
      <c r="BY117" s="1767">
        <v>0</v>
      </c>
      <c r="BZ117" s="1767">
        <v>0</v>
      </c>
      <c r="CA117" s="1767">
        <v>0</v>
      </c>
      <c r="CB117" s="1767">
        <v>0</v>
      </c>
      <c r="CC117" s="1767">
        <v>0</v>
      </c>
      <c r="CD117" s="1767">
        <v>0</v>
      </c>
      <c r="CE117" s="1767">
        <v>0</v>
      </c>
      <c r="CF117" s="1767">
        <v>0</v>
      </c>
      <c r="CG117" s="1767">
        <v>0</v>
      </c>
      <c r="CH117" s="1767">
        <v>0</v>
      </c>
      <c r="CI117" s="1767">
        <v>0</v>
      </c>
      <c r="CJ117" s="1767">
        <v>0</v>
      </c>
      <c r="CK117" s="1767">
        <v>0</v>
      </c>
      <c r="CL117" s="1767">
        <v>0</v>
      </c>
      <c r="CM117" s="1767">
        <v>0</v>
      </c>
      <c r="CN117" s="1767">
        <v>0</v>
      </c>
      <c r="CO117" s="1767">
        <v>0</v>
      </c>
      <c r="CP117" s="1767">
        <v>0</v>
      </c>
    </row>
    <row r="118" spans="1:94" ht="15" customHeight="1" x14ac:dyDescent="0.2">
      <c r="A118" s="1889"/>
      <c r="B118" s="1856"/>
      <c r="C118" s="665" t="s">
        <v>2106</v>
      </c>
      <c r="D118" s="936"/>
      <c r="E118" s="1831"/>
      <c r="F118" s="1225"/>
      <c r="G118" s="1767">
        <v>0</v>
      </c>
      <c r="H118" s="1767">
        <v>0</v>
      </c>
      <c r="I118" s="1767">
        <v>0</v>
      </c>
      <c r="J118" s="1767">
        <v>0</v>
      </c>
      <c r="K118" s="1767">
        <v>0</v>
      </c>
      <c r="L118" s="1767">
        <v>0</v>
      </c>
      <c r="M118" s="1767">
        <v>0</v>
      </c>
      <c r="N118" s="1767">
        <v>0</v>
      </c>
      <c r="O118" s="1767">
        <v>0</v>
      </c>
      <c r="P118" s="1767">
        <v>0</v>
      </c>
      <c r="Q118" s="1767">
        <v>0</v>
      </c>
      <c r="R118" s="1767">
        <v>0</v>
      </c>
      <c r="S118" s="1767">
        <v>0</v>
      </c>
      <c r="T118" s="1767">
        <v>0</v>
      </c>
      <c r="U118" s="1767">
        <v>0</v>
      </c>
      <c r="V118" s="1767">
        <v>0</v>
      </c>
      <c r="W118" s="1767">
        <v>0</v>
      </c>
      <c r="X118" s="1767">
        <v>0</v>
      </c>
      <c r="Y118" s="1767">
        <v>0</v>
      </c>
      <c r="Z118" s="1767">
        <v>0</v>
      </c>
      <c r="AA118" s="1767">
        <v>0</v>
      </c>
      <c r="AB118" s="1767">
        <v>0</v>
      </c>
      <c r="AC118" s="1767">
        <v>0</v>
      </c>
      <c r="AD118" s="1767">
        <v>0</v>
      </c>
      <c r="AE118" s="1767">
        <v>0</v>
      </c>
      <c r="AF118" s="1767">
        <v>0</v>
      </c>
      <c r="AG118" s="1767">
        <v>0</v>
      </c>
      <c r="AH118" s="1767">
        <v>0</v>
      </c>
      <c r="AI118" s="1767">
        <v>0</v>
      </c>
      <c r="AJ118" s="1767">
        <v>0</v>
      </c>
      <c r="AK118" s="1767">
        <v>0</v>
      </c>
      <c r="AL118" s="1767">
        <v>0</v>
      </c>
      <c r="AM118" s="1767">
        <v>0</v>
      </c>
      <c r="AN118" s="1767">
        <v>0</v>
      </c>
      <c r="AO118" s="1767">
        <v>0</v>
      </c>
      <c r="AP118" s="1767">
        <v>0</v>
      </c>
      <c r="AQ118" s="1767">
        <v>0</v>
      </c>
      <c r="AR118" s="1767">
        <v>0</v>
      </c>
      <c r="AS118" s="1767">
        <v>0</v>
      </c>
      <c r="AT118" s="1767">
        <v>0</v>
      </c>
      <c r="AU118" s="1767">
        <v>0</v>
      </c>
      <c r="AV118" s="1767">
        <v>0</v>
      </c>
      <c r="AW118" s="1767">
        <v>0</v>
      </c>
      <c r="AX118" s="1767">
        <v>0</v>
      </c>
      <c r="AY118" s="1767">
        <v>0</v>
      </c>
      <c r="AZ118" s="1767">
        <v>0</v>
      </c>
      <c r="BA118" s="1767">
        <v>0</v>
      </c>
      <c r="BB118" s="1767">
        <v>0</v>
      </c>
      <c r="BC118" s="1767">
        <v>0</v>
      </c>
      <c r="BD118" s="1767">
        <v>0</v>
      </c>
      <c r="BE118" s="1767">
        <v>0</v>
      </c>
      <c r="BF118" s="1767">
        <v>0</v>
      </c>
      <c r="BG118" s="1767">
        <v>0</v>
      </c>
      <c r="BH118" s="1767">
        <v>0</v>
      </c>
      <c r="BI118" s="1767">
        <v>0</v>
      </c>
      <c r="BJ118" s="1767">
        <v>0</v>
      </c>
      <c r="BK118" s="1767">
        <v>0</v>
      </c>
      <c r="BL118" s="1767">
        <v>0</v>
      </c>
      <c r="BM118" s="1767">
        <v>0</v>
      </c>
      <c r="BN118" s="1767">
        <v>0</v>
      </c>
      <c r="BO118" s="1767">
        <v>0</v>
      </c>
      <c r="BP118" s="1767">
        <v>0</v>
      </c>
      <c r="BQ118" s="1767">
        <v>0</v>
      </c>
      <c r="BR118" s="1767">
        <v>0</v>
      </c>
      <c r="BS118" s="1767">
        <v>0</v>
      </c>
      <c r="BT118" s="1767">
        <v>0</v>
      </c>
      <c r="BU118" s="1767">
        <v>0</v>
      </c>
      <c r="BV118" s="1767">
        <v>0</v>
      </c>
      <c r="BW118" s="1767">
        <v>0</v>
      </c>
      <c r="BX118" s="1767">
        <v>0</v>
      </c>
      <c r="BY118" s="1767">
        <v>0</v>
      </c>
      <c r="BZ118" s="1767">
        <v>0</v>
      </c>
      <c r="CA118" s="1767">
        <v>0</v>
      </c>
      <c r="CB118" s="1767">
        <v>0</v>
      </c>
      <c r="CC118" s="1767">
        <v>0</v>
      </c>
      <c r="CD118" s="1767">
        <v>0</v>
      </c>
      <c r="CE118" s="1767">
        <v>0</v>
      </c>
      <c r="CF118" s="1767">
        <v>0</v>
      </c>
      <c r="CG118" s="1767">
        <v>0</v>
      </c>
      <c r="CH118" s="1767">
        <v>0</v>
      </c>
      <c r="CI118" s="1767">
        <v>0</v>
      </c>
      <c r="CJ118" s="1767">
        <v>0</v>
      </c>
      <c r="CK118" s="1767">
        <v>0</v>
      </c>
      <c r="CL118" s="1767">
        <v>0</v>
      </c>
      <c r="CM118" s="1767">
        <v>0</v>
      </c>
      <c r="CN118" s="1767">
        <v>0</v>
      </c>
      <c r="CO118" s="1767">
        <v>0</v>
      </c>
      <c r="CP118" s="1767">
        <v>0</v>
      </c>
    </row>
    <row r="119" spans="1:94" ht="15" customHeight="1" x14ac:dyDescent="0.2">
      <c r="A119" s="1889"/>
      <c r="B119" s="1856"/>
      <c r="C119" s="665" t="s">
        <v>2107</v>
      </c>
      <c r="D119" s="936"/>
      <c r="E119" s="1831"/>
      <c r="F119" s="1225"/>
      <c r="G119" s="1767">
        <v>0</v>
      </c>
      <c r="H119" s="1767">
        <v>0</v>
      </c>
      <c r="I119" s="1767">
        <v>0</v>
      </c>
      <c r="J119" s="1767">
        <v>0</v>
      </c>
      <c r="K119" s="1767">
        <v>0</v>
      </c>
      <c r="L119" s="1767">
        <v>0</v>
      </c>
      <c r="M119" s="1767">
        <v>0</v>
      </c>
      <c r="N119" s="1767">
        <v>0</v>
      </c>
      <c r="O119" s="1767">
        <v>0</v>
      </c>
      <c r="P119" s="1767">
        <v>0</v>
      </c>
      <c r="Q119" s="1767">
        <v>0</v>
      </c>
      <c r="R119" s="1767">
        <v>0</v>
      </c>
      <c r="S119" s="1767">
        <v>0</v>
      </c>
      <c r="T119" s="1767">
        <v>0</v>
      </c>
      <c r="U119" s="1767">
        <v>0</v>
      </c>
      <c r="V119" s="1767">
        <v>0</v>
      </c>
      <c r="W119" s="1767">
        <v>0</v>
      </c>
      <c r="X119" s="1767">
        <v>0</v>
      </c>
      <c r="Y119" s="1767">
        <v>0</v>
      </c>
      <c r="Z119" s="1767">
        <v>0</v>
      </c>
      <c r="AA119" s="1767">
        <v>0</v>
      </c>
      <c r="AB119" s="1767">
        <v>0</v>
      </c>
      <c r="AC119" s="1767">
        <v>0</v>
      </c>
      <c r="AD119" s="1767">
        <v>0</v>
      </c>
      <c r="AE119" s="1767">
        <v>0</v>
      </c>
      <c r="AF119" s="1767">
        <v>0</v>
      </c>
      <c r="AG119" s="1767">
        <v>0</v>
      </c>
      <c r="AH119" s="1767">
        <v>0</v>
      </c>
      <c r="AI119" s="1767">
        <v>0</v>
      </c>
      <c r="AJ119" s="1767">
        <v>0</v>
      </c>
      <c r="AK119" s="1767">
        <v>0</v>
      </c>
      <c r="AL119" s="1767">
        <v>0</v>
      </c>
      <c r="AM119" s="1767">
        <v>0</v>
      </c>
      <c r="AN119" s="1767">
        <v>0</v>
      </c>
      <c r="AO119" s="1767">
        <v>0</v>
      </c>
      <c r="AP119" s="1767">
        <v>0</v>
      </c>
      <c r="AQ119" s="1767">
        <v>0</v>
      </c>
      <c r="AR119" s="1767">
        <v>0</v>
      </c>
      <c r="AS119" s="1767">
        <v>0</v>
      </c>
      <c r="AT119" s="1767">
        <v>0</v>
      </c>
      <c r="AU119" s="1767">
        <v>0</v>
      </c>
      <c r="AV119" s="1767">
        <v>0</v>
      </c>
      <c r="AW119" s="1767">
        <v>0</v>
      </c>
      <c r="AX119" s="1767">
        <v>0</v>
      </c>
      <c r="AY119" s="1767">
        <v>0</v>
      </c>
      <c r="AZ119" s="1767">
        <v>0</v>
      </c>
      <c r="BA119" s="1767">
        <v>0</v>
      </c>
      <c r="BB119" s="1767">
        <v>0</v>
      </c>
      <c r="BC119" s="1767">
        <v>0</v>
      </c>
      <c r="BD119" s="1767">
        <v>0</v>
      </c>
      <c r="BE119" s="1767">
        <v>0</v>
      </c>
      <c r="BF119" s="1767">
        <v>0</v>
      </c>
      <c r="BG119" s="1767">
        <v>0</v>
      </c>
      <c r="BH119" s="1767">
        <v>0</v>
      </c>
      <c r="BI119" s="1767">
        <v>0</v>
      </c>
      <c r="BJ119" s="1767">
        <v>0</v>
      </c>
      <c r="BK119" s="1767">
        <v>0</v>
      </c>
      <c r="BL119" s="1767">
        <v>0</v>
      </c>
      <c r="BM119" s="1767">
        <v>0</v>
      </c>
      <c r="BN119" s="1767">
        <v>0</v>
      </c>
      <c r="BO119" s="1767">
        <v>0</v>
      </c>
      <c r="BP119" s="1767">
        <v>0</v>
      </c>
      <c r="BQ119" s="1767">
        <v>0</v>
      </c>
      <c r="BR119" s="1767">
        <v>0</v>
      </c>
      <c r="BS119" s="1767">
        <v>0</v>
      </c>
      <c r="BT119" s="1767">
        <v>0</v>
      </c>
      <c r="BU119" s="1767">
        <v>0</v>
      </c>
      <c r="BV119" s="1767">
        <v>0</v>
      </c>
      <c r="BW119" s="1767">
        <v>0</v>
      </c>
      <c r="BX119" s="1767">
        <v>0</v>
      </c>
      <c r="BY119" s="1767">
        <v>0</v>
      </c>
      <c r="BZ119" s="1767">
        <v>0</v>
      </c>
      <c r="CA119" s="1767">
        <v>0</v>
      </c>
      <c r="CB119" s="1767">
        <v>0</v>
      </c>
      <c r="CC119" s="1767">
        <v>0</v>
      </c>
      <c r="CD119" s="1767">
        <v>0</v>
      </c>
      <c r="CE119" s="1767">
        <v>0</v>
      </c>
      <c r="CF119" s="1767">
        <v>0</v>
      </c>
      <c r="CG119" s="1767">
        <v>0</v>
      </c>
      <c r="CH119" s="1767">
        <v>0</v>
      </c>
      <c r="CI119" s="1767">
        <v>0</v>
      </c>
      <c r="CJ119" s="1767">
        <v>0</v>
      </c>
      <c r="CK119" s="1767">
        <v>0</v>
      </c>
      <c r="CL119" s="1767">
        <v>0</v>
      </c>
      <c r="CM119" s="1767">
        <v>0</v>
      </c>
      <c r="CN119" s="1767">
        <v>0</v>
      </c>
      <c r="CO119" s="1767">
        <v>0</v>
      </c>
      <c r="CP119" s="1767">
        <v>0</v>
      </c>
    </row>
    <row r="120" spans="1:94" ht="15" customHeight="1" thickBot="1" x14ac:dyDescent="0.25">
      <c r="A120" s="1890"/>
      <c r="B120" s="1857"/>
      <c r="C120" s="800" t="s">
        <v>2108</v>
      </c>
      <c r="D120" s="936"/>
      <c r="E120" s="1831"/>
      <c r="F120" s="1225"/>
      <c r="G120" s="1767">
        <v>0</v>
      </c>
      <c r="H120" s="1767">
        <v>0</v>
      </c>
      <c r="I120" s="1767">
        <v>0</v>
      </c>
      <c r="J120" s="1767">
        <v>0</v>
      </c>
      <c r="K120" s="1767">
        <v>0</v>
      </c>
      <c r="L120" s="1767">
        <v>0</v>
      </c>
      <c r="M120" s="1767">
        <v>0</v>
      </c>
      <c r="N120" s="1767">
        <v>0</v>
      </c>
      <c r="O120" s="1767">
        <v>0</v>
      </c>
      <c r="P120" s="1767">
        <v>0</v>
      </c>
      <c r="Q120" s="1767">
        <v>0</v>
      </c>
      <c r="R120" s="1767">
        <v>0</v>
      </c>
      <c r="S120" s="1767">
        <v>0</v>
      </c>
      <c r="T120" s="1767">
        <v>0</v>
      </c>
      <c r="U120" s="1767">
        <v>0</v>
      </c>
      <c r="V120" s="1767">
        <v>0</v>
      </c>
      <c r="W120" s="1767">
        <v>0</v>
      </c>
      <c r="X120" s="1767">
        <v>0</v>
      </c>
      <c r="Y120" s="1767">
        <v>0</v>
      </c>
      <c r="Z120" s="1767">
        <v>0</v>
      </c>
      <c r="AA120" s="1767">
        <v>0</v>
      </c>
      <c r="AB120" s="1767">
        <v>0</v>
      </c>
      <c r="AC120" s="1767">
        <v>0</v>
      </c>
      <c r="AD120" s="1767">
        <v>0</v>
      </c>
      <c r="AE120" s="1767">
        <v>0</v>
      </c>
      <c r="AF120" s="1767">
        <v>0</v>
      </c>
      <c r="AG120" s="1767">
        <v>0</v>
      </c>
      <c r="AH120" s="1767">
        <v>0</v>
      </c>
      <c r="AI120" s="1767">
        <v>0</v>
      </c>
      <c r="AJ120" s="1767">
        <v>0</v>
      </c>
      <c r="AK120" s="1767">
        <v>0</v>
      </c>
      <c r="AL120" s="1767">
        <v>0</v>
      </c>
      <c r="AM120" s="1767">
        <v>0</v>
      </c>
      <c r="AN120" s="1767">
        <v>0</v>
      </c>
      <c r="AO120" s="1767">
        <v>0</v>
      </c>
      <c r="AP120" s="1767">
        <v>0</v>
      </c>
      <c r="AQ120" s="1767">
        <v>0</v>
      </c>
      <c r="AR120" s="1767">
        <v>0</v>
      </c>
      <c r="AS120" s="1767">
        <v>0</v>
      </c>
      <c r="AT120" s="1767">
        <v>0</v>
      </c>
      <c r="AU120" s="1767">
        <v>0</v>
      </c>
      <c r="AV120" s="1767">
        <v>0</v>
      </c>
      <c r="AW120" s="1767">
        <v>0</v>
      </c>
      <c r="AX120" s="1767">
        <v>0</v>
      </c>
      <c r="AY120" s="1767">
        <v>0</v>
      </c>
      <c r="AZ120" s="1767">
        <v>0</v>
      </c>
      <c r="BA120" s="1767">
        <v>0</v>
      </c>
      <c r="BB120" s="1767">
        <v>0</v>
      </c>
      <c r="BC120" s="1767">
        <v>0</v>
      </c>
      <c r="BD120" s="1767">
        <v>0</v>
      </c>
      <c r="BE120" s="1767">
        <v>0</v>
      </c>
      <c r="BF120" s="1767">
        <v>0</v>
      </c>
      <c r="BG120" s="1767">
        <v>0</v>
      </c>
      <c r="BH120" s="1767">
        <v>0</v>
      </c>
      <c r="BI120" s="1767">
        <v>0</v>
      </c>
      <c r="BJ120" s="1767">
        <v>0</v>
      </c>
      <c r="BK120" s="1767">
        <v>0</v>
      </c>
      <c r="BL120" s="1767">
        <v>0</v>
      </c>
      <c r="BM120" s="1767">
        <v>0</v>
      </c>
      <c r="BN120" s="1767">
        <v>0</v>
      </c>
      <c r="BO120" s="1767">
        <v>0</v>
      </c>
      <c r="BP120" s="1767">
        <v>0</v>
      </c>
      <c r="BQ120" s="1767">
        <v>0</v>
      </c>
      <c r="BR120" s="1767">
        <v>0</v>
      </c>
      <c r="BS120" s="1767">
        <v>0</v>
      </c>
      <c r="BT120" s="1767">
        <v>0</v>
      </c>
      <c r="BU120" s="1767">
        <v>0</v>
      </c>
      <c r="BV120" s="1767">
        <v>0</v>
      </c>
      <c r="BW120" s="1767">
        <v>0</v>
      </c>
      <c r="BX120" s="1767">
        <v>0</v>
      </c>
      <c r="BY120" s="1767">
        <v>0</v>
      </c>
      <c r="BZ120" s="1767">
        <v>0</v>
      </c>
      <c r="CA120" s="1767">
        <v>0</v>
      </c>
      <c r="CB120" s="1767">
        <v>0</v>
      </c>
      <c r="CC120" s="1767">
        <v>0</v>
      </c>
      <c r="CD120" s="1767">
        <v>0</v>
      </c>
      <c r="CE120" s="1767">
        <v>0</v>
      </c>
      <c r="CF120" s="1767">
        <v>0</v>
      </c>
      <c r="CG120" s="1767">
        <v>0</v>
      </c>
      <c r="CH120" s="1767">
        <v>0</v>
      </c>
      <c r="CI120" s="1767">
        <v>0</v>
      </c>
      <c r="CJ120" s="1767">
        <v>0</v>
      </c>
      <c r="CK120" s="1767">
        <v>0</v>
      </c>
      <c r="CL120" s="1767">
        <v>0</v>
      </c>
      <c r="CM120" s="1767">
        <v>0</v>
      </c>
      <c r="CN120" s="1767">
        <v>0</v>
      </c>
      <c r="CO120" s="1767">
        <v>0</v>
      </c>
      <c r="CP120" s="1767">
        <v>0</v>
      </c>
    </row>
    <row r="121" spans="1:94" ht="30" customHeight="1" thickBot="1" x14ac:dyDescent="0.25">
      <c r="A121" s="1846" t="s">
        <v>1297</v>
      </c>
      <c r="B121" s="1891" t="s">
        <v>2249</v>
      </c>
      <c r="C121" s="1779" t="s">
        <v>2518</v>
      </c>
      <c r="D121" s="947"/>
      <c r="E121" s="1891" t="s">
        <v>2316</v>
      </c>
      <c r="F121" s="1225"/>
      <c r="G121" s="1742"/>
      <c r="H121" s="1742"/>
      <c r="I121" s="1742"/>
      <c r="J121" s="1742"/>
      <c r="K121" s="1742"/>
      <c r="L121" s="1742"/>
      <c r="M121" s="1742"/>
      <c r="N121" s="1742"/>
      <c r="O121" s="1742"/>
      <c r="P121" s="1742"/>
      <c r="Q121" s="1742"/>
      <c r="R121" s="1742"/>
      <c r="S121" s="1742"/>
      <c r="T121" s="1742"/>
      <c r="U121" s="1742"/>
      <c r="V121" s="1742"/>
      <c r="W121" s="1742"/>
      <c r="X121" s="1742"/>
      <c r="Y121" s="1742"/>
      <c r="Z121" s="1742"/>
      <c r="AA121" s="1742"/>
      <c r="AB121" s="1742"/>
      <c r="AC121" s="1742"/>
      <c r="AD121" s="1742"/>
      <c r="AE121" s="1742"/>
      <c r="AF121" s="1742"/>
      <c r="AG121" s="1742"/>
      <c r="AH121" s="1742"/>
      <c r="AI121" s="1742"/>
      <c r="AJ121" s="1742"/>
      <c r="AK121" s="1742"/>
      <c r="AL121" s="1742"/>
      <c r="AM121" s="1742"/>
      <c r="AN121" s="1742"/>
      <c r="AO121" s="1742"/>
      <c r="AP121" s="1742"/>
      <c r="AQ121" s="1742"/>
      <c r="AR121" s="1742"/>
      <c r="AS121" s="1742"/>
      <c r="AT121" s="1742"/>
      <c r="AU121" s="1742"/>
      <c r="AV121" s="1742"/>
      <c r="AW121" s="1742"/>
      <c r="AX121" s="1742"/>
      <c r="AY121" s="1742"/>
      <c r="AZ121" s="1742"/>
      <c r="BA121" s="1742"/>
      <c r="BB121" s="1742"/>
      <c r="BC121" s="1742"/>
      <c r="BD121" s="1742"/>
      <c r="BE121" s="1742"/>
      <c r="BF121" s="1742"/>
      <c r="BG121" s="1742"/>
      <c r="BH121" s="1742"/>
      <c r="BI121" s="1742"/>
      <c r="BJ121" s="1742"/>
      <c r="BK121" s="1742"/>
      <c r="BL121" s="1742"/>
      <c r="BM121" s="1742"/>
      <c r="BN121" s="1742"/>
      <c r="BO121" s="1742"/>
      <c r="BP121" s="1742"/>
      <c r="BQ121" s="1742"/>
      <c r="BR121" s="1742"/>
      <c r="BS121" s="1742"/>
      <c r="BT121" s="1742"/>
      <c r="BU121" s="1742"/>
      <c r="BV121" s="1742"/>
      <c r="BW121" s="1742"/>
      <c r="BX121" s="1742"/>
      <c r="BY121" s="1742"/>
      <c r="BZ121" s="1742"/>
      <c r="CA121" s="1742"/>
      <c r="CB121" s="1742"/>
      <c r="CC121" s="1742"/>
      <c r="CD121" s="1742"/>
      <c r="CE121" s="1742"/>
      <c r="CF121" s="1742"/>
      <c r="CG121" s="1742"/>
      <c r="CH121" s="1742"/>
      <c r="CI121" s="1742"/>
      <c r="CJ121" s="1742"/>
      <c r="CK121" s="1742"/>
      <c r="CL121" s="1742"/>
      <c r="CM121" s="1742"/>
      <c r="CN121" s="1742"/>
      <c r="CO121" s="1742"/>
      <c r="CP121" s="1742"/>
    </row>
    <row r="122" spans="1:94" ht="27" customHeight="1" x14ac:dyDescent="0.2">
      <c r="A122" s="1847"/>
      <c r="B122" s="1892"/>
      <c r="C122" s="961" t="s">
        <v>1812</v>
      </c>
      <c r="D122" s="958"/>
      <c r="E122" s="1892"/>
      <c r="F122" s="1225"/>
      <c r="G122" s="1767">
        <v>0</v>
      </c>
      <c r="H122" s="1767">
        <v>0</v>
      </c>
      <c r="I122" s="1767">
        <v>0</v>
      </c>
      <c r="J122" s="1767">
        <v>0</v>
      </c>
      <c r="K122" s="1767">
        <v>0</v>
      </c>
      <c r="L122" s="1767">
        <v>0</v>
      </c>
      <c r="M122" s="1767">
        <v>0</v>
      </c>
      <c r="N122" s="1767">
        <v>0</v>
      </c>
      <c r="O122" s="1767">
        <v>0</v>
      </c>
      <c r="P122" s="1767">
        <v>0</v>
      </c>
      <c r="Q122" s="1767">
        <v>0</v>
      </c>
      <c r="R122" s="1767">
        <v>0</v>
      </c>
      <c r="S122" s="1767">
        <v>0</v>
      </c>
      <c r="T122" s="1767">
        <v>0</v>
      </c>
      <c r="U122" s="1767">
        <v>0</v>
      </c>
      <c r="V122" s="1767">
        <v>0</v>
      </c>
      <c r="W122" s="1767">
        <v>0</v>
      </c>
      <c r="X122" s="1767">
        <v>0</v>
      </c>
      <c r="Y122" s="1767">
        <v>0</v>
      </c>
      <c r="Z122" s="1767">
        <v>0</v>
      </c>
      <c r="AA122" s="1767">
        <v>0</v>
      </c>
      <c r="AB122" s="1767">
        <v>0</v>
      </c>
      <c r="AC122" s="1767">
        <v>0</v>
      </c>
      <c r="AD122" s="1767">
        <v>0</v>
      </c>
      <c r="AE122" s="1767">
        <v>0</v>
      </c>
      <c r="AF122" s="1767">
        <v>0</v>
      </c>
      <c r="AG122" s="1767">
        <v>0</v>
      </c>
      <c r="AH122" s="1767">
        <v>0</v>
      </c>
      <c r="AI122" s="1767">
        <v>0</v>
      </c>
      <c r="AJ122" s="1767">
        <v>0</v>
      </c>
      <c r="AK122" s="1767">
        <v>0</v>
      </c>
      <c r="AL122" s="1767">
        <v>0</v>
      </c>
      <c r="AM122" s="1767">
        <v>0</v>
      </c>
      <c r="AN122" s="1767">
        <v>0</v>
      </c>
      <c r="AO122" s="1767">
        <v>0</v>
      </c>
      <c r="AP122" s="1767">
        <v>0</v>
      </c>
      <c r="AQ122" s="1767">
        <v>0</v>
      </c>
      <c r="AR122" s="1767">
        <v>0</v>
      </c>
      <c r="AS122" s="1767">
        <v>0</v>
      </c>
      <c r="AT122" s="1767">
        <v>0</v>
      </c>
      <c r="AU122" s="1767">
        <v>0</v>
      </c>
      <c r="AV122" s="1767">
        <v>0</v>
      </c>
      <c r="AW122" s="1767">
        <v>0</v>
      </c>
      <c r="AX122" s="1767">
        <v>0</v>
      </c>
      <c r="AY122" s="1767">
        <v>0</v>
      </c>
      <c r="AZ122" s="1767">
        <v>0</v>
      </c>
      <c r="BA122" s="1767">
        <v>0</v>
      </c>
      <c r="BB122" s="1767">
        <v>0</v>
      </c>
      <c r="BC122" s="1767">
        <v>0</v>
      </c>
      <c r="BD122" s="1767">
        <v>0</v>
      </c>
      <c r="BE122" s="1767">
        <v>0</v>
      </c>
      <c r="BF122" s="1767">
        <v>0</v>
      </c>
      <c r="BG122" s="1767">
        <v>0</v>
      </c>
      <c r="BH122" s="1767">
        <v>0</v>
      </c>
      <c r="BI122" s="1767">
        <v>0</v>
      </c>
      <c r="BJ122" s="1767">
        <v>0</v>
      </c>
      <c r="BK122" s="1767">
        <v>0</v>
      </c>
      <c r="BL122" s="1767">
        <v>0</v>
      </c>
      <c r="BM122" s="1767">
        <v>0</v>
      </c>
      <c r="BN122" s="1767">
        <v>0</v>
      </c>
      <c r="BO122" s="1767">
        <v>0</v>
      </c>
      <c r="BP122" s="1767">
        <v>0</v>
      </c>
      <c r="BQ122" s="1767">
        <v>0</v>
      </c>
      <c r="BR122" s="1767">
        <v>0</v>
      </c>
      <c r="BS122" s="1767">
        <v>0</v>
      </c>
      <c r="BT122" s="1767">
        <v>0</v>
      </c>
      <c r="BU122" s="1767">
        <v>0</v>
      </c>
      <c r="BV122" s="1767">
        <v>0</v>
      </c>
      <c r="BW122" s="1767">
        <v>0</v>
      </c>
      <c r="BX122" s="1767">
        <v>0</v>
      </c>
      <c r="BY122" s="1767">
        <v>0</v>
      </c>
      <c r="BZ122" s="1767">
        <v>0</v>
      </c>
      <c r="CA122" s="1767">
        <v>0</v>
      </c>
      <c r="CB122" s="1767">
        <v>0</v>
      </c>
      <c r="CC122" s="1767">
        <v>0</v>
      </c>
      <c r="CD122" s="1767">
        <v>0</v>
      </c>
      <c r="CE122" s="1767">
        <v>0</v>
      </c>
      <c r="CF122" s="1767">
        <v>0</v>
      </c>
      <c r="CG122" s="1767">
        <v>0</v>
      </c>
      <c r="CH122" s="1767">
        <v>0</v>
      </c>
      <c r="CI122" s="1767">
        <v>0</v>
      </c>
      <c r="CJ122" s="1767">
        <v>0</v>
      </c>
      <c r="CK122" s="1767">
        <v>0</v>
      </c>
      <c r="CL122" s="1767">
        <v>0</v>
      </c>
      <c r="CM122" s="1767">
        <v>0</v>
      </c>
      <c r="CN122" s="1767">
        <v>0</v>
      </c>
      <c r="CO122" s="1767">
        <v>0</v>
      </c>
      <c r="CP122" s="1767">
        <v>0</v>
      </c>
    </row>
    <row r="123" spans="1:94" ht="15" customHeight="1" x14ac:dyDescent="0.2">
      <c r="A123" s="1847"/>
      <c r="B123" s="1892"/>
      <c r="C123" s="962" t="s">
        <v>452</v>
      </c>
      <c r="D123" s="958"/>
      <c r="E123" s="1892"/>
      <c r="F123" s="1225"/>
      <c r="G123" s="1767">
        <v>0</v>
      </c>
      <c r="H123" s="1767">
        <v>0</v>
      </c>
      <c r="I123" s="1767">
        <v>0</v>
      </c>
      <c r="J123" s="1767">
        <v>0</v>
      </c>
      <c r="K123" s="1767">
        <v>0</v>
      </c>
      <c r="L123" s="1767">
        <v>0</v>
      </c>
      <c r="M123" s="1767">
        <v>0</v>
      </c>
      <c r="N123" s="1767">
        <v>0</v>
      </c>
      <c r="O123" s="1767">
        <v>0</v>
      </c>
      <c r="P123" s="1767">
        <v>0</v>
      </c>
      <c r="Q123" s="1767">
        <v>0</v>
      </c>
      <c r="R123" s="1767">
        <v>0</v>
      </c>
      <c r="S123" s="1767">
        <v>0</v>
      </c>
      <c r="T123" s="1767">
        <v>0</v>
      </c>
      <c r="U123" s="1767">
        <v>0</v>
      </c>
      <c r="V123" s="1767">
        <v>0</v>
      </c>
      <c r="W123" s="1767">
        <v>0</v>
      </c>
      <c r="X123" s="1767">
        <v>0</v>
      </c>
      <c r="Y123" s="1767">
        <v>0</v>
      </c>
      <c r="Z123" s="1767">
        <v>0</v>
      </c>
      <c r="AA123" s="1767">
        <v>0</v>
      </c>
      <c r="AB123" s="1767">
        <v>0</v>
      </c>
      <c r="AC123" s="1767">
        <v>0</v>
      </c>
      <c r="AD123" s="1767">
        <v>0</v>
      </c>
      <c r="AE123" s="1767">
        <v>0</v>
      </c>
      <c r="AF123" s="1767">
        <v>0</v>
      </c>
      <c r="AG123" s="1767">
        <v>0</v>
      </c>
      <c r="AH123" s="1767">
        <v>0</v>
      </c>
      <c r="AI123" s="1767">
        <v>0</v>
      </c>
      <c r="AJ123" s="1767">
        <v>0</v>
      </c>
      <c r="AK123" s="1767">
        <v>0</v>
      </c>
      <c r="AL123" s="1767">
        <v>0</v>
      </c>
      <c r="AM123" s="1767">
        <v>0</v>
      </c>
      <c r="AN123" s="1767">
        <v>0</v>
      </c>
      <c r="AO123" s="1767">
        <v>0</v>
      </c>
      <c r="AP123" s="1767">
        <v>0</v>
      </c>
      <c r="AQ123" s="1767">
        <v>0</v>
      </c>
      <c r="AR123" s="1767">
        <v>0</v>
      </c>
      <c r="AS123" s="1767">
        <v>0</v>
      </c>
      <c r="AT123" s="1767">
        <v>0</v>
      </c>
      <c r="AU123" s="1767">
        <v>0</v>
      </c>
      <c r="AV123" s="1767">
        <v>0</v>
      </c>
      <c r="AW123" s="1767">
        <v>0</v>
      </c>
      <c r="AX123" s="1767">
        <v>0</v>
      </c>
      <c r="AY123" s="1767">
        <v>0</v>
      </c>
      <c r="AZ123" s="1767">
        <v>0</v>
      </c>
      <c r="BA123" s="1767">
        <v>0</v>
      </c>
      <c r="BB123" s="1767">
        <v>0</v>
      </c>
      <c r="BC123" s="1767">
        <v>0</v>
      </c>
      <c r="BD123" s="1767">
        <v>0</v>
      </c>
      <c r="BE123" s="1767">
        <v>0</v>
      </c>
      <c r="BF123" s="1767">
        <v>0</v>
      </c>
      <c r="BG123" s="1767">
        <v>0</v>
      </c>
      <c r="BH123" s="1767">
        <v>0</v>
      </c>
      <c r="BI123" s="1767">
        <v>0</v>
      </c>
      <c r="BJ123" s="1767">
        <v>0</v>
      </c>
      <c r="BK123" s="1767">
        <v>0</v>
      </c>
      <c r="BL123" s="1767">
        <v>0</v>
      </c>
      <c r="BM123" s="1767">
        <v>0</v>
      </c>
      <c r="BN123" s="1767">
        <v>0</v>
      </c>
      <c r="BO123" s="1767">
        <v>0</v>
      </c>
      <c r="BP123" s="1767">
        <v>0</v>
      </c>
      <c r="BQ123" s="1767">
        <v>0</v>
      </c>
      <c r="BR123" s="1767">
        <v>0</v>
      </c>
      <c r="BS123" s="1767">
        <v>0</v>
      </c>
      <c r="BT123" s="1767">
        <v>0</v>
      </c>
      <c r="BU123" s="1767">
        <v>0</v>
      </c>
      <c r="BV123" s="1767">
        <v>0</v>
      </c>
      <c r="BW123" s="1767">
        <v>0</v>
      </c>
      <c r="BX123" s="1767">
        <v>0</v>
      </c>
      <c r="BY123" s="1767">
        <v>0</v>
      </c>
      <c r="BZ123" s="1767">
        <v>0</v>
      </c>
      <c r="CA123" s="1767">
        <v>0</v>
      </c>
      <c r="CB123" s="1767">
        <v>0</v>
      </c>
      <c r="CC123" s="1767">
        <v>0</v>
      </c>
      <c r="CD123" s="1767">
        <v>0</v>
      </c>
      <c r="CE123" s="1767">
        <v>0</v>
      </c>
      <c r="CF123" s="1767">
        <v>0</v>
      </c>
      <c r="CG123" s="1767">
        <v>0</v>
      </c>
      <c r="CH123" s="1767">
        <v>0</v>
      </c>
      <c r="CI123" s="1767">
        <v>0</v>
      </c>
      <c r="CJ123" s="1767">
        <v>0</v>
      </c>
      <c r="CK123" s="1767">
        <v>0</v>
      </c>
      <c r="CL123" s="1767">
        <v>0</v>
      </c>
      <c r="CM123" s="1767">
        <v>0</v>
      </c>
      <c r="CN123" s="1767">
        <v>0</v>
      </c>
      <c r="CO123" s="1767">
        <v>0</v>
      </c>
      <c r="CP123" s="1767">
        <v>0</v>
      </c>
    </row>
    <row r="124" spans="1:94" ht="15" customHeight="1" x14ac:dyDescent="0.2">
      <c r="A124" s="1847"/>
      <c r="B124" s="1892"/>
      <c r="C124" s="962" t="s">
        <v>453</v>
      </c>
      <c r="D124" s="958"/>
      <c r="E124" s="1892"/>
      <c r="F124" s="1225"/>
      <c r="G124" s="1767">
        <v>0</v>
      </c>
      <c r="H124" s="1767">
        <v>0</v>
      </c>
      <c r="I124" s="1767">
        <v>0</v>
      </c>
      <c r="J124" s="1767">
        <v>0</v>
      </c>
      <c r="K124" s="1767">
        <v>0</v>
      </c>
      <c r="L124" s="1767">
        <v>0</v>
      </c>
      <c r="M124" s="1767">
        <v>0</v>
      </c>
      <c r="N124" s="1767">
        <v>0</v>
      </c>
      <c r="O124" s="1767">
        <v>0</v>
      </c>
      <c r="P124" s="1767">
        <v>0</v>
      </c>
      <c r="Q124" s="1767">
        <v>0</v>
      </c>
      <c r="R124" s="1767">
        <v>0</v>
      </c>
      <c r="S124" s="1767">
        <v>0</v>
      </c>
      <c r="T124" s="1767">
        <v>0</v>
      </c>
      <c r="U124" s="1767">
        <v>0</v>
      </c>
      <c r="V124" s="1767">
        <v>0</v>
      </c>
      <c r="W124" s="1767">
        <v>0</v>
      </c>
      <c r="X124" s="1767">
        <v>0</v>
      </c>
      <c r="Y124" s="1767">
        <v>0</v>
      </c>
      <c r="Z124" s="1767">
        <v>0</v>
      </c>
      <c r="AA124" s="1767">
        <v>0</v>
      </c>
      <c r="AB124" s="1767">
        <v>0</v>
      </c>
      <c r="AC124" s="1767">
        <v>0</v>
      </c>
      <c r="AD124" s="1767">
        <v>0</v>
      </c>
      <c r="AE124" s="1767">
        <v>0</v>
      </c>
      <c r="AF124" s="1767">
        <v>0</v>
      </c>
      <c r="AG124" s="1767">
        <v>0</v>
      </c>
      <c r="AH124" s="1767">
        <v>0</v>
      </c>
      <c r="AI124" s="1767">
        <v>0</v>
      </c>
      <c r="AJ124" s="1767">
        <v>0</v>
      </c>
      <c r="AK124" s="1767">
        <v>0</v>
      </c>
      <c r="AL124" s="1767">
        <v>0</v>
      </c>
      <c r="AM124" s="1767">
        <v>0</v>
      </c>
      <c r="AN124" s="1767">
        <v>0</v>
      </c>
      <c r="AO124" s="1767">
        <v>0</v>
      </c>
      <c r="AP124" s="1767">
        <v>0</v>
      </c>
      <c r="AQ124" s="1767">
        <v>0</v>
      </c>
      <c r="AR124" s="1767">
        <v>0</v>
      </c>
      <c r="AS124" s="1767">
        <v>0</v>
      </c>
      <c r="AT124" s="1767">
        <v>0</v>
      </c>
      <c r="AU124" s="1767">
        <v>0</v>
      </c>
      <c r="AV124" s="1767">
        <v>0</v>
      </c>
      <c r="AW124" s="1767">
        <v>0</v>
      </c>
      <c r="AX124" s="1767">
        <v>0</v>
      </c>
      <c r="AY124" s="1767">
        <v>0</v>
      </c>
      <c r="AZ124" s="1767">
        <v>0</v>
      </c>
      <c r="BA124" s="1767">
        <v>0</v>
      </c>
      <c r="BB124" s="1767">
        <v>0</v>
      </c>
      <c r="BC124" s="1767">
        <v>0</v>
      </c>
      <c r="BD124" s="1767">
        <v>0</v>
      </c>
      <c r="BE124" s="1767">
        <v>0</v>
      </c>
      <c r="BF124" s="1767">
        <v>0</v>
      </c>
      <c r="BG124" s="1767">
        <v>0</v>
      </c>
      <c r="BH124" s="1767">
        <v>0</v>
      </c>
      <c r="BI124" s="1767">
        <v>0</v>
      </c>
      <c r="BJ124" s="1767">
        <v>0</v>
      </c>
      <c r="BK124" s="1767">
        <v>0</v>
      </c>
      <c r="BL124" s="1767">
        <v>0</v>
      </c>
      <c r="BM124" s="1767">
        <v>0</v>
      </c>
      <c r="BN124" s="1767">
        <v>0</v>
      </c>
      <c r="BO124" s="1767">
        <v>0</v>
      </c>
      <c r="BP124" s="1767">
        <v>0</v>
      </c>
      <c r="BQ124" s="1767">
        <v>0</v>
      </c>
      <c r="BR124" s="1767">
        <v>0</v>
      </c>
      <c r="BS124" s="1767">
        <v>0</v>
      </c>
      <c r="BT124" s="1767">
        <v>0</v>
      </c>
      <c r="BU124" s="1767">
        <v>0</v>
      </c>
      <c r="BV124" s="1767">
        <v>0</v>
      </c>
      <c r="BW124" s="1767">
        <v>0</v>
      </c>
      <c r="BX124" s="1767">
        <v>0</v>
      </c>
      <c r="BY124" s="1767">
        <v>0</v>
      </c>
      <c r="BZ124" s="1767">
        <v>0</v>
      </c>
      <c r="CA124" s="1767">
        <v>0</v>
      </c>
      <c r="CB124" s="1767">
        <v>0</v>
      </c>
      <c r="CC124" s="1767">
        <v>0</v>
      </c>
      <c r="CD124" s="1767">
        <v>0</v>
      </c>
      <c r="CE124" s="1767">
        <v>0</v>
      </c>
      <c r="CF124" s="1767">
        <v>0</v>
      </c>
      <c r="CG124" s="1767">
        <v>0</v>
      </c>
      <c r="CH124" s="1767">
        <v>0</v>
      </c>
      <c r="CI124" s="1767">
        <v>0</v>
      </c>
      <c r="CJ124" s="1767">
        <v>0</v>
      </c>
      <c r="CK124" s="1767">
        <v>0</v>
      </c>
      <c r="CL124" s="1767">
        <v>0</v>
      </c>
      <c r="CM124" s="1767">
        <v>0</v>
      </c>
      <c r="CN124" s="1767">
        <v>0</v>
      </c>
      <c r="CO124" s="1767">
        <v>0</v>
      </c>
      <c r="CP124" s="1767">
        <v>0</v>
      </c>
    </row>
    <row r="125" spans="1:94" ht="15" customHeight="1" x14ac:dyDescent="0.2">
      <c r="A125" s="1847"/>
      <c r="B125" s="1892"/>
      <c r="C125" s="962" t="s">
        <v>498</v>
      </c>
      <c r="D125" s="958"/>
      <c r="E125" s="1892"/>
      <c r="F125" s="1225"/>
      <c r="G125" s="1767">
        <v>0</v>
      </c>
      <c r="H125" s="1767">
        <v>0</v>
      </c>
      <c r="I125" s="1767">
        <v>0</v>
      </c>
      <c r="J125" s="1767">
        <v>0</v>
      </c>
      <c r="K125" s="1767">
        <v>0</v>
      </c>
      <c r="L125" s="1767">
        <v>0</v>
      </c>
      <c r="M125" s="1767">
        <v>0</v>
      </c>
      <c r="N125" s="1767">
        <v>0</v>
      </c>
      <c r="O125" s="1767">
        <v>0</v>
      </c>
      <c r="P125" s="1767">
        <v>0</v>
      </c>
      <c r="Q125" s="1767">
        <v>0</v>
      </c>
      <c r="R125" s="1767">
        <v>0</v>
      </c>
      <c r="S125" s="1767">
        <v>0</v>
      </c>
      <c r="T125" s="1767">
        <v>0</v>
      </c>
      <c r="U125" s="1767">
        <v>0</v>
      </c>
      <c r="V125" s="1767">
        <v>0</v>
      </c>
      <c r="W125" s="1767">
        <v>0</v>
      </c>
      <c r="X125" s="1767">
        <v>0</v>
      </c>
      <c r="Y125" s="1767">
        <v>0</v>
      </c>
      <c r="Z125" s="1767">
        <v>0</v>
      </c>
      <c r="AA125" s="1767">
        <v>0</v>
      </c>
      <c r="AB125" s="1767">
        <v>0</v>
      </c>
      <c r="AC125" s="1767">
        <v>0</v>
      </c>
      <c r="AD125" s="1767">
        <v>0</v>
      </c>
      <c r="AE125" s="1767">
        <v>0</v>
      </c>
      <c r="AF125" s="1767">
        <v>0</v>
      </c>
      <c r="AG125" s="1767">
        <v>0</v>
      </c>
      <c r="AH125" s="1767">
        <v>0</v>
      </c>
      <c r="AI125" s="1767">
        <v>0</v>
      </c>
      <c r="AJ125" s="1767">
        <v>0</v>
      </c>
      <c r="AK125" s="1767">
        <v>0</v>
      </c>
      <c r="AL125" s="1767">
        <v>0</v>
      </c>
      <c r="AM125" s="1767">
        <v>0</v>
      </c>
      <c r="AN125" s="1767">
        <v>0</v>
      </c>
      <c r="AO125" s="1767">
        <v>0</v>
      </c>
      <c r="AP125" s="1767">
        <v>0</v>
      </c>
      <c r="AQ125" s="1767">
        <v>0</v>
      </c>
      <c r="AR125" s="1767">
        <v>0</v>
      </c>
      <c r="AS125" s="1767">
        <v>0</v>
      </c>
      <c r="AT125" s="1767">
        <v>0</v>
      </c>
      <c r="AU125" s="1767">
        <v>0</v>
      </c>
      <c r="AV125" s="1767">
        <v>0</v>
      </c>
      <c r="AW125" s="1767">
        <v>0</v>
      </c>
      <c r="AX125" s="1767">
        <v>0</v>
      </c>
      <c r="AY125" s="1767">
        <v>0</v>
      </c>
      <c r="AZ125" s="1767">
        <v>0</v>
      </c>
      <c r="BA125" s="1767">
        <v>0</v>
      </c>
      <c r="BB125" s="1767">
        <v>0</v>
      </c>
      <c r="BC125" s="1767">
        <v>0</v>
      </c>
      <c r="BD125" s="1767">
        <v>0</v>
      </c>
      <c r="BE125" s="1767">
        <v>0</v>
      </c>
      <c r="BF125" s="1767">
        <v>0</v>
      </c>
      <c r="BG125" s="1767">
        <v>0</v>
      </c>
      <c r="BH125" s="1767">
        <v>0</v>
      </c>
      <c r="BI125" s="1767">
        <v>0</v>
      </c>
      <c r="BJ125" s="1767">
        <v>0</v>
      </c>
      <c r="BK125" s="1767">
        <v>0</v>
      </c>
      <c r="BL125" s="1767">
        <v>0</v>
      </c>
      <c r="BM125" s="1767">
        <v>0</v>
      </c>
      <c r="BN125" s="1767">
        <v>0</v>
      </c>
      <c r="BO125" s="1767">
        <v>0</v>
      </c>
      <c r="BP125" s="1767">
        <v>0</v>
      </c>
      <c r="BQ125" s="1767">
        <v>0</v>
      </c>
      <c r="BR125" s="1767">
        <v>0</v>
      </c>
      <c r="BS125" s="1767">
        <v>0</v>
      </c>
      <c r="BT125" s="1767">
        <v>0</v>
      </c>
      <c r="BU125" s="1767">
        <v>0</v>
      </c>
      <c r="BV125" s="1767">
        <v>0</v>
      </c>
      <c r="BW125" s="1767">
        <v>0</v>
      </c>
      <c r="BX125" s="1767">
        <v>0</v>
      </c>
      <c r="BY125" s="1767">
        <v>0</v>
      </c>
      <c r="BZ125" s="1767">
        <v>0</v>
      </c>
      <c r="CA125" s="1767">
        <v>0</v>
      </c>
      <c r="CB125" s="1767">
        <v>0</v>
      </c>
      <c r="CC125" s="1767">
        <v>0</v>
      </c>
      <c r="CD125" s="1767">
        <v>0</v>
      </c>
      <c r="CE125" s="1767">
        <v>0</v>
      </c>
      <c r="CF125" s="1767">
        <v>0</v>
      </c>
      <c r="CG125" s="1767">
        <v>0</v>
      </c>
      <c r="CH125" s="1767">
        <v>0</v>
      </c>
      <c r="CI125" s="1767">
        <v>0</v>
      </c>
      <c r="CJ125" s="1767">
        <v>0</v>
      </c>
      <c r="CK125" s="1767">
        <v>0</v>
      </c>
      <c r="CL125" s="1767">
        <v>0</v>
      </c>
      <c r="CM125" s="1767">
        <v>0</v>
      </c>
      <c r="CN125" s="1767">
        <v>0</v>
      </c>
      <c r="CO125" s="1767">
        <v>0</v>
      </c>
      <c r="CP125" s="1767">
        <v>0</v>
      </c>
    </row>
    <row r="126" spans="1:94" ht="28.5" customHeight="1" thickBot="1" x14ac:dyDescent="0.25">
      <c r="A126" s="1848"/>
      <c r="B126" s="1893"/>
      <c r="C126" s="963" t="s">
        <v>2359</v>
      </c>
      <c r="D126" s="959"/>
      <c r="E126" s="1893"/>
      <c r="F126" s="1225"/>
      <c r="G126" s="1767">
        <v>0</v>
      </c>
      <c r="H126" s="1767">
        <v>0</v>
      </c>
      <c r="I126" s="1767">
        <v>0</v>
      </c>
      <c r="J126" s="1767">
        <v>0</v>
      </c>
      <c r="K126" s="1767">
        <v>0</v>
      </c>
      <c r="L126" s="1767">
        <v>0</v>
      </c>
      <c r="M126" s="1767">
        <v>0</v>
      </c>
      <c r="N126" s="1767">
        <v>0</v>
      </c>
      <c r="O126" s="1767">
        <v>0</v>
      </c>
      <c r="P126" s="1767">
        <v>0</v>
      </c>
      <c r="Q126" s="1767">
        <v>0</v>
      </c>
      <c r="R126" s="1767">
        <v>0</v>
      </c>
      <c r="S126" s="1767">
        <v>0</v>
      </c>
      <c r="T126" s="1767">
        <v>0</v>
      </c>
      <c r="U126" s="1767">
        <v>0</v>
      </c>
      <c r="V126" s="1767">
        <v>0</v>
      </c>
      <c r="W126" s="1767">
        <v>0</v>
      </c>
      <c r="X126" s="1767">
        <v>0</v>
      </c>
      <c r="Y126" s="1767">
        <v>0</v>
      </c>
      <c r="Z126" s="1767">
        <v>0</v>
      </c>
      <c r="AA126" s="1767">
        <v>0</v>
      </c>
      <c r="AB126" s="1767">
        <v>0</v>
      </c>
      <c r="AC126" s="1767">
        <v>0</v>
      </c>
      <c r="AD126" s="1767">
        <v>0</v>
      </c>
      <c r="AE126" s="1767">
        <v>0</v>
      </c>
      <c r="AF126" s="1767">
        <v>0</v>
      </c>
      <c r="AG126" s="1767">
        <v>0</v>
      </c>
      <c r="AH126" s="1767">
        <v>0</v>
      </c>
      <c r="AI126" s="1767">
        <v>0</v>
      </c>
      <c r="AJ126" s="1767">
        <v>0</v>
      </c>
      <c r="AK126" s="1767">
        <v>0</v>
      </c>
      <c r="AL126" s="1767">
        <v>0</v>
      </c>
      <c r="AM126" s="1767">
        <v>0</v>
      </c>
      <c r="AN126" s="1767">
        <v>0</v>
      </c>
      <c r="AO126" s="1767">
        <v>0</v>
      </c>
      <c r="AP126" s="1767">
        <v>0</v>
      </c>
      <c r="AQ126" s="1767">
        <v>0</v>
      </c>
      <c r="AR126" s="1767">
        <v>0</v>
      </c>
      <c r="AS126" s="1767">
        <v>0</v>
      </c>
      <c r="AT126" s="1767">
        <v>0</v>
      </c>
      <c r="AU126" s="1767">
        <v>0</v>
      </c>
      <c r="AV126" s="1767">
        <v>0</v>
      </c>
      <c r="AW126" s="1767">
        <v>0</v>
      </c>
      <c r="AX126" s="1767">
        <v>0</v>
      </c>
      <c r="AY126" s="1767">
        <v>0</v>
      </c>
      <c r="AZ126" s="1767">
        <v>0</v>
      </c>
      <c r="BA126" s="1767">
        <v>0</v>
      </c>
      <c r="BB126" s="1767">
        <v>0</v>
      </c>
      <c r="BC126" s="1767">
        <v>0</v>
      </c>
      <c r="BD126" s="1767">
        <v>0</v>
      </c>
      <c r="BE126" s="1767">
        <v>0</v>
      </c>
      <c r="BF126" s="1767">
        <v>0</v>
      </c>
      <c r="BG126" s="1767">
        <v>0</v>
      </c>
      <c r="BH126" s="1767">
        <v>0</v>
      </c>
      <c r="BI126" s="1767">
        <v>0</v>
      </c>
      <c r="BJ126" s="1767">
        <v>0</v>
      </c>
      <c r="BK126" s="1767">
        <v>0</v>
      </c>
      <c r="BL126" s="1767">
        <v>0</v>
      </c>
      <c r="BM126" s="1767">
        <v>0</v>
      </c>
      <c r="BN126" s="1767">
        <v>0</v>
      </c>
      <c r="BO126" s="1767">
        <v>0</v>
      </c>
      <c r="BP126" s="1767">
        <v>0</v>
      </c>
      <c r="BQ126" s="1767">
        <v>0</v>
      </c>
      <c r="BR126" s="1767">
        <v>0</v>
      </c>
      <c r="BS126" s="1767">
        <v>0</v>
      </c>
      <c r="BT126" s="1767">
        <v>0</v>
      </c>
      <c r="BU126" s="1767">
        <v>0</v>
      </c>
      <c r="BV126" s="1767">
        <v>0</v>
      </c>
      <c r="BW126" s="1767">
        <v>0</v>
      </c>
      <c r="BX126" s="1767">
        <v>0</v>
      </c>
      <c r="BY126" s="1767">
        <v>0</v>
      </c>
      <c r="BZ126" s="1767">
        <v>0</v>
      </c>
      <c r="CA126" s="1767">
        <v>0</v>
      </c>
      <c r="CB126" s="1767">
        <v>0</v>
      </c>
      <c r="CC126" s="1767">
        <v>0</v>
      </c>
      <c r="CD126" s="1767">
        <v>0</v>
      </c>
      <c r="CE126" s="1767">
        <v>0</v>
      </c>
      <c r="CF126" s="1767">
        <v>0</v>
      </c>
      <c r="CG126" s="1767">
        <v>0</v>
      </c>
      <c r="CH126" s="1767">
        <v>0</v>
      </c>
      <c r="CI126" s="1767">
        <v>0</v>
      </c>
      <c r="CJ126" s="1767">
        <v>0</v>
      </c>
      <c r="CK126" s="1767">
        <v>0</v>
      </c>
      <c r="CL126" s="1767">
        <v>0</v>
      </c>
      <c r="CM126" s="1767">
        <v>0</v>
      </c>
      <c r="CN126" s="1767">
        <v>0</v>
      </c>
      <c r="CO126" s="1767">
        <v>0</v>
      </c>
      <c r="CP126" s="1767">
        <v>0</v>
      </c>
    </row>
    <row r="127" spans="1:94" ht="30" customHeight="1" thickBot="1" x14ac:dyDescent="0.25">
      <c r="A127" s="1849" t="s">
        <v>1298</v>
      </c>
      <c r="B127" s="1833" t="s">
        <v>496</v>
      </c>
      <c r="C127" s="1781" t="s">
        <v>2519</v>
      </c>
      <c r="D127" s="947"/>
      <c r="E127" s="1834" t="s">
        <v>2317</v>
      </c>
      <c r="F127" s="1225"/>
      <c r="G127" s="1742"/>
      <c r="H127" s="1742"/>
      <c r="I127" s="1742"/>
      <c r="J127" s="1742"/>
      <c r="K127" s="1742"/>
      <c r="L127" s="1742"/>
      <c r="M127" s="1742"/>
      <c r="N127" s="1742"/>
      <c r="O127" s="1742"/>
      <c r="P127" s="1742"/>
      <c r="Q127" s="1742"/>
      <c r="R127" s="1742"/>
      <c r="S127" s="1742"/>
      <c r="T127" s="1742"/>
      <c r="U127" s="1742"/>
      <c r="V127" s="1742"/>
      <c r="W127" s="1742"/>
      <c r="X127" s="1742"/>
      <c r="Y127" s="1742"/>
      <c r="Z127" s="1742"/>
      <c r="AA127" s="1742"/>
      <c r="AB127" s="1742"/>
      <c r="AC127" s="1742"/>
      <c r="AD127" s="1742"/>
      <c r="AE127" s="1742"/>
      <c r="AF127" s="1742"/>
      <c r="AG127" s="1742"/>
      <c r="AH127" s="1742"/>
      <c r="AI127" s="1742"/>
      <c r="AJ127" s="1742"/>
      <c r="AK127" s="1742"/>
      <c r="AL127" s="1742"/>
      <c r="AM127" s="1742"/>
      <c r="AN127" s="1742"/>
      <c r="AO127" s="1742"/>
      <c r="AP127" s="1742"/>
      <c r="AQ127" s="1742"/>
      <c r="AR127" s="1742"/>
      <c r="AS127" s="1742"/>
      <c r="AT127" s="1742"/>
      <c r="AU127" s="1742"/>
      <c r="AV127" s="1742"/>
      <c r="AW127" s="1742"/>
      <c r="AX127" s="1742"/>
      <c r="AY127" s="1742"/>
      <c r="AZ127" s="1742"/>
      <c r="BA127" s="1742"/>
      <c r="BB127" s="1742"/>
      <c r="BC127" s="1742"/>
      <c r="BD127" s="1742"/>
      <c r="BE127" s="1742"/>
      <c r="BF127" s="1742"/>
      <c r="BG127" s="1742"/>
      <c r="BH127" s="1742"/>
      <c r="BI127" s="1742"/>
      <c r="BJ127" s="1742"/>
      <c r="BK127" s="1742"/>
      <c r="BL127" s="1742"/>
      <c r="BM127" s="1742"/>
      <c r="BN127" s="1742"/>
      <c r="BO127" s="1742"/>
      <c r="BP127" s="1742"/>
      <c r="BQ127" s="1742"/>
      <c r="BR127" s="1742"/>
      <c r="BS127" s="1742"/>
      <c r="BT127" s="1742"/>
      <c r="BU127" s="1742"/>
      <c r="BV127" s="1742"/>
      <c r="BW127" s="1742"/>
      <c r="BX127" s="1742"/>
      <c r="BY127" s="1742"/>
      <c r="BZ127" s="1742"/>
      <c r="CA127" s="1742"/>
      <c r="CB127" s="1742"/>
      <c r="CC127" s="1742"/>
      <c r="CD127" s="1742"/>
      <c r="CE127" s="1742"/>
      <c r="CF127" s="1742"/>
      <c r="CG127" s="1742"/>
      <c r="CH127" s="1742"/>
      <c r="CI127" s="1742"/>
      <c r="CJ127" s="1742"/>
      <c r="CK127" s="1742"/>
      <c r="CL127" s="1742"/>
      <c r="CM127" s="1742"/>
      <c r="CN127" s="1742"/>
      <c r="CO127" s="1742"/>
      <c r="CP127" s="1742"/>
    </row>
    <row r="128" spans="1:94" ht="15" customHeight="1" x14ac:dyDescent="0.2">
      <c r="A128" s="1847"/>
      <c r="B128" s="1834"/>
      <c r="C128" s="961" t="s">
        <v>2360</v>
      </c>
      <c r="D128" s="958"/>
      <c r="E128" s="1834"/>
      <c r="F128" s="1225"/>
      <c r="G128" s="1767">
        <v>0</v>
      </c>
      <c r="H128" s="1767">
        <v>0</v>
      </c>
      <c r="I128" s="1767">
        <v>0</v>
      </c>
      <c r="J128" s="1767">
        <v>0</v>
      </c>
      <c r="K128" s="1767">
        <v>0</v>
      </c>
      <c r="L128" s="1767">
        <v>0</v>
      </c>
      <c r="M128" s="1767">
        <v>0</v>
      </c>
      <c r="N128" s="1767">
        <v>0</v>
      </c>
      <c r="O128" s="1767">
        <v>0</v>
      </c>
      <c r="P128" s="1767">
        <v>0</v>
      </c>
      <c r="Q128" s="1767">
        <v>0</v>
      </c>
      <c r="R128" s="1767">
        <v>0</v>
      </c>
      <c r="S128" s="1767">
        <v>0</v>
      </c>
      <c r="T128" s="1767">
        <v>0</v>
      </c>
      <c r="U128" s="1767">
        <v>0</v>
      </c>
      <c r="V128" s="1767">
        <v>0</v>
      </c>
      <c r="W128" s="1767">
        <v>0</v>
      </c>
      <c r="X128" s="1767">
        <v>0</v>
      </c>
      <c r="Y128" s="1767">
        <v>0</v>
      </c>
      <c r="Z128" s="1767">
        <v>0</v>
      </c>
      <c r="AA128" s="1767">
        <v>0</v>
      </c>
      <c r="AB128" s="1767">
        <v>0</v>
      </c>
      <c r="AC128" s="1767">
        <v>0</v>
      </c>
      <c r="AD128" s="1767">
        <v>0</v>
      </c>
      <c r="AE128" s="1767">
        <v>0</v>
      </c>
      <c r="AF128" s="1767">
        <v>0</v>
      </c>
      <c r="AG128" s="1767">
        <v>0</v>
      </c>
      <c r="AH128" s="1767">
        <v>0</v>
      </c>
      <c r="AI128" s="1767">
        <v>0</v>
      </c>
      <c r="AJ128" s="1767">
        <v>0</v>
      </c>
      <c r="AK128" s="1767">
        <v>0</v>
      </c>
      <c r="AL128" s="1767">
        <v>0</v>
      </c>
      <c r="AM128" s="1767">
        <v>0</v>
      </c>
      <c r="AN128" s="1767">
        <v>0</v>
      </c>
      <c r="AO128" s="1767">
        <v>0</v>
      </c>
      <c r="AP128" s="1767">
        <v>0</v>
      </c>
      <c r="AQ128" s="1767">
        <v>0</v>
      </c>
      <c r="AR128" s="1767">
        <v>0</v>
      </c>
      <c r="AS128" s="1767">
        <v>0</v>
      </c>
      <c r="AT128" s="1767">
        <v>0</v>
      </c>
      <c r="AU128" s="1767">
        <v>0</v>
      </c>
      <c r="AV128" s="1767">
        <v>0</v>
      </c>
      <c r="AW128" s="1767">
        <v>0</v>
      </c>
      <c r="AX128" s="1767">
        <v>0</v>
      </c>
      <c r="AY128" s="1767">
        <v>0</v>
      </c>
      <c r="AZ128" s="1767">
        <v>0</v>
      </c>
      <c r="BA128" s="1767">
        <v>0</v>
      </c>
      <c r="BB128" s="1767">
        <v>0</v>
      </c>
      <c r="BC128" s="1767">
        <v>0</v>
      </c>
      <c r="BD128" s="1767">
        <v>0</v>
      </c>
      <c r="BE128" s="1767">
        <v>0</v>
      </c>
      <c r="BF128" s="1767">
        <v>0</v>
      </c>
      <c r="BG128" s="1767">
        <v>0</v>
      </c>
      <c r="BH128" s="1767">
        <v>0</v>
      </c>
      <c r="BI128" s="1767">
        <v>0</v>
      </c>
      <c r="BJ128" s="1767">
        <v>0</v>
      </c>
      <c r="BK128" s="1767">
        <v>0</v>
      </c>
      <c r="BL128" s="1767">
        <v>0</v>
      </c>
      <c r="BM128" s="1767">
        <v>0</v>
      </c>
      <c r="BN128" s="1767">
        <v>0</v>
      </c>
      <c r="BO128" s="1767">
        <v>0</v>
      </c>
      <c r="BP128" s="1767">
        <v>0</v>
      </c>
      <c r="BQ128" s="1767">
        <v>0</v>
      </c>
      <c r="BR128" s="1767">
        <v>0</v>
      </c>
      <c r="BS128" s="1767">
        <v>0</v>
      </c>
      <c r="BT128" s="1767">
        <v>0</v>
      </c>
      <c r="BU128" s="1767">
        <v>0</v>
      </c>
      <c r="BV128" s="1767">
        <v>0</v>
      </c>
      <c r="BW128" s="1767">
        <v>0</v>
      </c>
      <c r="BX128" s="1767">
        <v>0</v>
      </c>
      <c r="BY128" s="1767">
        <v>0</v>
      </c>
      <c r="BZ128" s="1767">
        <v>0</v>
      </c>
      <c r="CA128" s="1767">
        <v>0</v>
      </c>
      <c r="CB128" s="1767">
        <v>0</v>
      </c>
      <c r="CC128" s="1767">
        <v>0</v>
      </c>
      <c r="CD128" s="1767">
        <v>0</v>
      </c>
      <c r="CE128" s="1767">
        <v>0</v>
      </c>
      <c r="CF128" s="1767">
        <v>0</v>
      </c>
      <c r="CG128" s="1767">
        <v>0</v>
      </c>
      <c r="CH128" s="1767">
        <v>0</v>
      </c>
      <c r="CI128" s="1767">
        <v>0</v>
      </c>
      <c r="CJ128" s="1767">
        <v>0</v>
      </c>
      <c r="CK128" s="1767">
        <v>0</v>
      </c>
      <c r="CL128" s="1767">
        <v>0</v>
      </c>
      <c r="CM128" s="1767">
        <v>0</v>
      </c>
      <c r="CN128" s="1767">
        <v>0</v>
      </c>
      <c r="CO128" s="1767">
        <v>0</v>
      </c>
      <c r="CP128" s="1767">
        <v>0</v>
      </c>
    </row>
    <row r="129" spans="1:94" ht="15" customHeight="1" x14ac:dyDescent="0.2">
      <c r="A129" s="1847"/>
      <c r="B129" s="1834"/>
      <c r="C129" s="962" t="s">
        <v>2109</v>
      </c>
      <c r="D129" s="958"/>
      <c r="E129" s="1834"/>
      <c r="F129" s="1225"/>
      <c r="G129" s="1767">
        <v>0</v>
      </c>
      <c r="H129" s="1767">
        <v>0</v>
      </c>
      <c r="I129" s="1767">
        <v>0</v>
      </c>
      <c r="J129" s="1767">
        <v>0</v>
      </c>
      <c r="K129" s="1767">
        <v>0</v>
      </c>
      <c r="L129" s="1767">
        <v>0</v>
      </c>
      <c r="M129" s="1767">
        <v>0</v>
      </c>
      <c r="N129" s="1767">
        <v>0</v>
      </c>
      <c r="O129" s="1767">
        <v>0</v>
      </c>
      <c r="P129" s="1767">
        <v>0</v>
      </c>
      <c r="Q129" s="1767">
        <v>0</v>
      </c>
      <c r="R129" s="1767">
        <v>0</v>
      </c>
      <c r="S129" s="1767">
        <v>0</v>
      </c>
      <c r="T129" s="1767">
        <v>0</v>
      </c>
      <c r="U129" s="1767">
        <v>0</v>
      </c>
      <c r="V129" s="1767">
        <v>0</v>
      </c>
      <c r="W129" s="1767">
        <v>0</v>
      </c>
      <c r="X129" s="1767">
        <v>0</v>
      </c>
      <c r="Y129" s="1767">
        <v>0</v>
      </c>
      <c r="Z129" s="1767">
        <v>0</v>
      </c>
      <c r="AA129" s="1767">
        <v>0</v>
      </c>
      <c r="AB129" s="1767">
        <v>0</v>
      </c>
      <c r="AC129" s="1767">
        <v>0</v>
      </c>
      <c r="AD129" s="1767">
        <v>0</v>
      </c>
      <c r="AE129" s="1767">
        <v>0</v>
      </c>
      <c r="AF129" s="1767">
        <v>0</v>
      </c>
      <c r="AG129" s="1767">
        <v>0</v>
      </c>
      <c r="AH129" s="1767">
        <v>0</v>
      </c>
      <c r="AI129" s="1767">
        <v>0</v>
      </c>
      <c r="AJ129" s="1767">
        <v>0</v>
      </c>
      <c r="AK129" s="1767">
        <v>0</v>
      </c>
      <c r="AL129" s="1767">
        <v>0</v>
      </c>
      <c r="AM129" s="1767">
        <v>0</v>
      </c>
      <c r="AN129" s="1767">
        <v>0</v>
      </c>
      <c r="AO129" s="1767">
        <v>0</v>
      </c>
      <c r="AP129" s="1767">
        <v>0</v>
      </c>
      <c r="AQ129" s="1767">
        <v>0</v>
      </c>
      <c r="AR129" s="1767">
        <v>0</v>
      </c>
      <c r="AS129" s="1767">
        <v>0</v>
      </c>
      <c r="AT129" s="1767">
        <v>0</v>
      </c>
      <c r="AU129" s="1767">
        <v>0</v>
      </c>
      <c r="AV129" s="1767">
        <v>0</v>
      </c>
      <c r="AW129" s="1767">
        <v>0</v>
      </c>
      <c r="AX129" s="1767">
        <v>0</v>
      </c>
      <c r="AY129" s="1767">
        <v>0</v>
      </c>
      <c r="AZ129" s="1767">
        <v>0</v>
      </c>
      <c r="BA129" s="1767">
        <v>0</v>
      </c>
      <c r="BB129" s="1767">
        <v>0</v>
      </c>
      <c r="BC129" s="1767">
        <v>0</v>
      </c>
      <c r="BD129" s="1767">
        <v>0</v>
      </c>
      <c r="BE129" s="1767">
        <v>0</v>
      </c>
      <c r="BF129" s="1767">
        <v>0</v>
      </c>
      <c r="BG129" s="1767">
        <v>0</v>
      </c>
      <c r="BH129" s="1767">
        <v>0</v>
      </c>
      <c r="BI129" s="1767">
        <v>0</v>
      </c>
      <c r="BJ129" s="1767">
        <v>0</v>
      </c>
      <c r="BK129" s="1767">
        <v>0</v>
      </c>
      <c r="BL129" s="1767">
        <v>0</v>
      </c>
      <c r="BM129" s="1767">
        <v>0</v>
      </c>
      <c r="BN129" s="1767">
        <v>0</v>
      </c>
      <c r="BO129" s="1767">
        <v>0</v>
      </c>
      <c r="BP129" s="1767">
        <v>0</v>
      </c>
      <c r="BQ129" s="1767">
        <v>0</v>
      </c>
      <c r="BR129" s="1767">
        <v>0</v>
      </c>
      <c r="BS129" s="1767">
        <v>0</v>
      </c>
      <c r="BT129" s="1767">
        <v>0</v>
      </c>
      <c r="BU129" s="1767">
        <v>0</v>
      </c>
      <c r="BV129" s="1767">
        <v>0</v>
      </c>
      <c r="BW129" s="1767">
        <v>0</v>
      </c>
      <c r="BX129" s="1767">
        <v>0</v>
      </c>
      <c r="BY129" s="1767">
        <v>0</v>
      </c>
      <c r="BZ129" s="1767">
        <v>0</v>
      </c>
      <c r="CA129" s="1767">
        <v>0</v>
      </c>
      <c r="CB129" s="1767">
        <v>0</v>
      </c>
      <c r="CC129" s="1767">
        <v>0</v>
      </c>
      <c r="CD129" s="1767">
        <v>0</v>
      </c>
      <c r="CE129" s="1767">
        <v>0</v>
      </c>
      <c r="CF129" s="1767">
        <v>0</v>
      </c>
      <c r="CG129" s="1767">
        <v>0</v>
      </c>
      <c r="CH129" s="1767">
        <v>0</v>
      </c>
      <c r="CI129" s="1767">
        <v>0</v>
      </c>
      <c r="CJ129" s="1767">
        <v>0</v>
      </c>
      <c r="CK129" s="1767">
        <v>0</v>
      </c>
      <c r="CL129" s="1767">
        <v>0</v>
      </c>
      <c r="CM129" s="1767">
        <v>0</v>
      </c>
      <c r="CN129" s="1767">
        <v>0</v>
      </c>
      <c r="CO129" s="1767">
        <v>0</v>
      </c>
      <c r="CP129" s="1767">
        <v>0</v>
      </c>
    </row>
    <row r="130" spans="1:94" ht="15" customHeight="1" x14ac:dyDescent="0.2">
      <c r="A130" s="1847"/>
      <c r="B130" s="1834"/>
      <c r="C130" s="962" t="s">
        <v>2110</v>
      </c>
      <c r="D130" s="958"/>
      <c r="E130" s="1834"/>
      <c r="F130" s="1225"/>
      <c r="G130" s="1767">
        <v>0</v>
      </c>
      <c r="H130" s="1767">
        <v>0</v>
      </c>
      <c r="I130" s="1767">
        <v>0</v>
      </c>
      <c r="J130" s="1767">
        <v>0</v>
      </c>
      <c r="K130" s="1767">
        <v>0</v>
      </c>
      <c r="L130" s="1767">
        <v>0</v>
      </c>
      <c r="M130" s="1767">
        <v>0</v>
      </c>
      <c r="N130" s="1767">
        <v>0</v>
      </c>
      <c r="O130" s="1767">
        <v>0</v>
      </c>
      <c r="P130" s="1767">
        <v>0</v>
      </c>
      <c r="Q130" s="1767">
        <v>0</v>
      </c>
      <c r="R130" s="1767">
        <v>0</v>
      </c>
      <c r="S130" s="1767">
        <v>0</v>
      </c>
      <c r="T130" s="1767">
        <v>0</v>
      </c>
      <c r="U130" s="1767">
        <v>0</v>
      </c>
      <c r="V130" s="1767">
        <v>0</v>
      </c>
      <c r="W130" s="1767">
        <v>0</v>
      </c>
      <c r="X130" s="1767">
        <v>0</v>
      </c>
      <c r="Y130" s="1767">
        <v>0</v>
      </c>
      <c r="Z130" s="1767">
        <v>0</v>
      </c>
      <c r="AA130" s="1767">
        <v>0</v>
      </c>
      <c r="AB130" s="1767">
        <v>0</v>
      </c>
      <c r="AC130" s="1767">
        <v>0</v>
      </c>
      <c r="AD130" s="1767">
        <v>0</v>
      </c>
      <c r="AE130" s="1767">
        <v>0</v>
      </c>
      <c r="AF130" s="1767">
        <v>0</v>
      </c>
      <c r="AG130" s="1767">
        <v>0</v>
      </c>
      <c r="AH130" s="1767">
        <v>0</v>
      </c>
      <c r="AI130" s="1767">
        <v>0</v>
      </c>
      <c r="AJ130" s="1767">
        <v>0</v>
      </c>
      <c r="AK130" s="1767">
        <v>0</v>
      </c>
      <c r="AL130" s="1767">
        <v>0</v>
      </c>
      <c r="AM130" s="1767">
        <v>0</v>
      </c>
      <c r="AN130" s="1767">
        <v>0</v>
      </c>
      <c r="AO130" s="1767">
        <v>0</v>
      </c>
      <c r="AP130" s="1767">
        <v>0</v>
      </c>
      <c r="AQ130" s="1767">
        <v>0</v>
      </c>
      <c r="AR130" s="1767">
        <v>0</v>
      </c>
      <c r="AS130" s="1767">
        <v>0</v>
      </c>
      <c r="AT130" s="1767">
        <v>0</v>
      </c>
      <c r="AU130" s="1767">
        <v>0</v>
      </c>
      <c r="AV130" s="1767">
        <v>0</v>
      </c>
      <c r="AW130" s="1767">
        <v>0</v>
      </c>
      <c r="AX130" s="1767">
        <v>0</v>
      </c>
      <c r="AY130" s="1767">
        <v>0</v>
      </c>
      <c r="AZ130" s="1767">
        <v>0</v>
      </c>
      <c r="BA130" s="1767">
        <v>0</v>
      </c>
      <c r="BB130" s="1767">
        <v>0</v>
      </c>
      <c r="BC130" s="1767">
        <v>0</v>
      </c>
      <c r="BD130" s="1767">
        <v>0</v>
      </c>
      <c r="BE130" s="1767">
        <v>0</v>
      </c>
      <c r="BF130" s="1767">
        <v>0</v>
      </c>
      <c r="BG130" s="1767">
        <v>0</v>
      </c>
      <c r="BH130" s="1767">
        <v>0</v>
      </c>
      <c r="BI130" s="1767">
        <v>0</v>
      </c>
      <c r="BJ130" s="1767">
        <v>0</v>
      </c>
      <c r="BK130" s="1767">
        <v>0</v>
      </c>
      <c r="BL130" s="1767">
        <v>0</v>
      </c>
      <c r="BM130" s="1767">
        <v>0</v>
      </c>
      <c r="BN130" s="1767">
        <v>0</v>
      </c>
      <c r="BO130" s="1767">
        <v>0</v>
      </c>
      <c r="BP130" s="1767">
        <v>0</v>
      </c>
      <c r="BQ130" s="1767">
        <v>0</v>
      </c>
      <c r="BR130" s="1767">
        <v>0</v>
      </c>
      <c r="BS130" s="1767">
        <v>0</v>
      </c>
      <c r="BT130" s="1767">
        <v>0</v>
      </c>
      <c r="BU130" s="1767">
        <v>0</v>
      </c>
      <c r="BV130" s="1767">
        <v>0</v>
      </c>
      <c r="BW130" s="1767">
        <v>0</v>
      </c>
      <c r="BX130" s="1767">
        <v>0</v>
      </c>
      <c r="BY130" s="1767">
        <v>0</v>
      </c>
      <c r="BZ130" s="1767">
        <v>0</v>
      </c>
      <c r="CA130" s="1767">
        <v>0</v>
      </c>
      <c r="CB130" s="1767">
        <v>0</v>
      </c>
      <c r="CC130" s="1767">
        <v>0</v>
      </c>
      <c r="CD130" s="1767">
        <v>0</v>
      </c>
      <c r="CE130" s="1767">
        <v>0</v>
      </c>
      <c r="CF130" s="1767">
        <v>0</v>
      </c>
      <c r="CG130" s="1767">
        <v>0</v>
      </c>
      <c r="CH130" s="1767">
        <v>0</v>
      </c>
      <c r="CI130" s="1767">
        <v>0</v>
      </c>
      <c r="CJ130" s="1767">
        <v>0</v>
      </c>
      <c r="CK130" s="1767">
        <v>0</v>
      </c>
      <c r="CL130" s="1767">
        <v>0</v>
      </c>
      <c r="CM130" s="1767">
        <v>0</v>
      </c>
      <c r="CN130" s="1767">
        <v>0</v>
      </c>
      <c r="CO130" s="1767">
        <v>0</v>
      </c>
      <c r="CP130" s="1767">
        <v>0</v>
      </c>
    </row>
    <row r="131" spans="1:94" ht="15" customHeight="1" x14ac:dyDescent="0.2">
      <c r="A131" s="1847"/>
      <c r="B131" s="1834"/>
      <c r="C131" s="962" t="s">
        <v>2111</v>
      </c>
      <c r="D131" s="958"/>
      <c r="E131" s="1834"/>
      <c r="F131" s="1225"/>
      <c r="G131" s="1767">
        <v>0</v>
      </c>
      <c r="H131" s="1767">
        <v>0</v>
      </c>
      <c r="I131" s="1767">
        <v>0</v>
      </c>
      <c r="J131" s="1767">
        <v>0</v>
      </c>
      <c r="K131" s="1767">
        <v>0</v>
      </c>
      <c r="L131" s="1767">
        <v>0</v>
      </c>
      <c r="M131" s="1767">
        <v>0</v>
      </c>
      <c r="N131" s="1767">
        <v>0</v>
      </c>
      <c r="O131" s="1767">
        <v>0</v>
      </c>
      <c r="P131" s="1767">
        <v>0</v>
      </c>
      <c r="Q131" s="1767">
        <v>0</v>
      </c>
      <c r="R131" s="1767">
        <v>0</v>
      </c>
      <c r="S131" s="1767">
        <v>0</v>
      </c>
      <c r="T131" s="1767">
        <v>0</v>
      </c>
      <c r="U131" s="1767">
        <v>0</v>
      </c>
      <c r="V131" s="1767">
        <v>0</v>
      </c>
      <c r="W131" s="1767">
        <v>0</v>
      </c>
      <c r="X131" s="1767">
        <v>0</v>
      </c>
      <c r="Y131" s="1767">
        <v>0</v>
      </c>
      <c r="Z131" s="1767">
        <v>0</v>
      </c>
      <c r="AA131" s="1767">
        <v>0</v>
      </c>
      <c r="AB131" s="1767">
        <v>0</v>
      </c>
      <c r="AC131" s="1767">
        <v>0</v>
      </c>
      <c r="AD131" s="1767">
        <v>0</v>
      </c>
      <c r="AE131" s="1767">
        <v>0</v>
      </c>
      <c r="AF131" s="1767">
        <v>0</v>
      </c>
      <c r="AG131" s="1767">
        <v>0</v>
      </c>
      <c r="AH131" s="1767">
        <v>0</v>
      </c>
      <c r="AI131" s="1767">
        <v>0</v>
      </c>
      <c r="AJ131" s="1767">
        <v>0</v>
      </c>
      <c r="AK131" s="1767">
        <v>0</v>
      </c>
      <c r="AL131" s="1767">
        <v>0</v>
      </c>
      <c r="AM131" s="1767">
        <v>0</v>
      </c>
      <c r="AN131" s="1767">
        <v>0</v>
      </c>
      <c r="AO131" s="1767">
        <v>0</v>
      </c>
      <c r="AP131" s="1767">
        <v>0</v>
      </c>
      <c r="AQ131" s="1767">
        <v>0</v>
      </c>
      <c r="AR131" s="1767">
        <v>0</v>
      </c>
      <c r="AS131" s="1767">
        <v>0</v>
      </c>
      <c r="AT131" s="1767">
        <v>0</v>
      </c>
      <c r="AU131" s="1767">
        <v>0</v>
      </c>
      <c r="AV131" s="1767">
        <v>0</v>
      </c>
      <c r="AW131" s="1767">
        <v>0</v>
      </c>
      <c r="AX131" s="1767">
        <v>0</v>
      </c>
      <c r="AY131" s="1767">
        <v>0</v>
      </c>
      <c r="AZ131" s="1767">
        <v>0</v>
      </c>
      <c r="BA131" s="1767">
        <v>0</v>
      </c>
      <c r="BB131" s="1767">
        <v>0</v>
      </c>
      <c r="BC131" s="1767">
        <v>0</v>
      </c>
      <c r="BD131" s="1767">
        <v>0</v>
      </c>
      <c r="BE131" s="1767">
        <v>0</v>
      </c>
      <c r="BF131" s="1767">
        <v>0</v>
      </c>
      <c r="BG131" s="1767">
        <v>0</v>
      </c>
      <c r="BH131" s="1767">
        <v>0</v>
      </c>
      <c r="BI131" s="1767">
        <v>0</v>
      </c>
      <c r="BJ131" s="1767">
        <v>0</v>
      </c>
      <c r="BK131" s="1767">
        <v>0</v>
      </c>
      <c r="BL131" s="1767">
        <v>0</v>
      </c>
      <c r="BM131" s="1767">
        <v>0</v>
      </c>
      <c r="BN131" s="1767">
        <v>0</v>
      </c>
      <c r="BO131" s="1767">
        <v>0</v>
      </c>
      <c r="BP131" s="1767">
        <v>0</v>
      </c>
      <c r="BQ131" s="1767">
        <v>0</v>
      </c>
      <c r="BR131" s="1767">
        <v>0</v>
      </c>
      <c r="BS131" s="1767">
        <v>0</v>
      </c>
      <c r="BT131" s="1767">
        <v>0</v>
      </c>
      <c r="BU131" s="1767">
        <v>0</v>
      </c>
      <c r="BV131" s="1767">
        <v>0</v>
      </c>
      <c r="BW131" s="1767">
        <v>0</v>
      </c>
      <c r="BX131" s="1767">
        <v>0</v>
      </c>
      <c r="BY131" s="1767">
        <v>0</v>
      </c>
      <c r="BZ131" s="1767">
        <v>0</v>
      </c>
      <c r="CA131" s="1767">
        <v>0</v>
      </c>
      <c r="CB131" s="1767">
        <v>0</v>
      </c>
      <c r="CC131" s="1767">
        <v>0</v>
      </c>
      <c r="CD131" s="1767">
        <v>0</v>
      </c>
      <c r="CE131" s="1767">
        <v>0</v>
      </c>
      <c r="CF131" s="1767">
        <v>0</v>
      </c>
      <c r="CG131" s="1767">
        <v>0</v>
      </c>
      <c r="CH131" s="1767">
        <v>0</v>
      </c>
      <c r="CI131" s="1767">
        <v>0</v>
      </c>
      <c r="CJ131" s="1767">
        <v>0</v>
      </c>
      <c r="CK131" s="1767">
        <v>0</v>
      </c>
      <c r="CL131" s="1767">
        <v>0</v>
      </c>
      <c r="CM131" s="1767">
        <v>0</v>
      </c>
      <c r="CN131" s="1767">
        <v>0</v>
      </c>
      <c r="CO131" s="1767">
        <v>0</v>
      </c>
      <c r="CP131" s="1767">
        <v>0</v>
      </c>
    </row>
    <row r="132" spans="1:94" ht="15" customHeight="1" x14ac:dyDescent="0.2">
      <c r="A132" s="1847"/>
      <c r="B132" s="1834"/>
      <c r="C132" s="962" t="s">
        <v>2112</v>
      </c>
      <c r="D132" s="958"/>
      <c r="E132" s="1834"/>
      <c r="F132" s="1225"/>
      <c r="G132" s="1767">
        <v>0</v>
      </c>
      <c r="H132" s="1767">
        <v>0</v>
      </c>
      <c r="I132" s="1767">
        <v>0</v>
      </c>
      <c r="J132" s="1767">
        <v>0</v>
      </c>
      <c r="K132" s="1767">
        <v>0</v>
      </c>
      <c r="L132" s="1767">
        <v>0</v>
      </c>
      <c r="M132" s="1767">
        <v>0</v>
      </c>
      <c r="N132" s="1767">
        <v>0</v>
      </c>
      <c r="O132" s="1767">
        <v>0</v>
      </c>
      <c r="P132" s="1767">
        <v>0</v>
      </c>
      <c r="Q132" s="1767">
        <v>0</v>
      </c>
      <c r="R132" s="1767">
        <v>0</v>
      </c>
      <c r="S132" s="1767">
        <v>0</v>
      </c>
      <c r="T132" s="1767">
        <v>0</v>
      </c>
      <c r="U132" s="1767">
        <v>0</v>
      </c>
      <c r="V132" s="1767">
        <v>0</v>
      </c>
      <c r="W132" s="1767">
        <v>0</v>
      </c>
      <c r="X132" s="1767">
        <v>0</v>
      </c>
      <c r="Y132" s="1767">
        <v>0</v>
      </c>
      <c r="Z132" s="1767">
        <v>0</v>
      </c>
      <c r="AA132" s="1767">
        <v>0</v>
      </c>
      <c r="AB132" s="1767">
        <v>0</v>
      </c>
      <c r="AC132" s="1767">
        <v>0</v>
      </c>
      <c r="AD132" s="1767">
        <v>0</v>
      </c>
      <c r="AE132" s="1767">
        <v>0</v>
      </c>
      <c r="AF132" s="1767">
        <v>0</v>
      </c>
      <c r="AG132" s="1767">
        <v>0</v>
      </c>
      <c r="AH132" s="1767">
        <v>0</v>
      </c>
      <c r="AI132" s="1767">
        <v>0</v>
      </c>
      <c r="AJ132" s="1767">
        <v>0</v>
      </c>
      <c r="AK132" s="1767">
        <v>0</v>
      </c>
      <c r="AL132" s="1767">
        <v>0</v>
      </c>
      <c r="AM132" s="1767">
        <v>0</v>
      </c>
      <c r="AN132" s="1767">
        <v>0</v>
      </c>
      <c r="AO132" s="1767">
        <v>0</v>
      </c>
      <c r="AP132" s="1767">
        <v>0</v>
      </c>
      <c r="AQ132" s="1767">
        <v>0</v>
      </c>
      <c r="AR132" s="1767">
        <v>0</v>
      </c>
      <c r="AS132" s="1767">
        <v>0</v>
      </c>
      <c r="AT132" s="1767">
        <v>0</v>
      </c>
      <c r="AU132" s="1767">
        <v>0</v>
      </c>
      <c r="AV132" s="1767">
        <v>0</v>
      </c>
      <c r="AW132" s="1767">
        <v>0</v>
      </c>
      <c r="AX132" s="1767">
        <v>0</v>
      </c>
      <c r="AY132" s="1767">
        <v>0</v>
      </c>
      <c r="AZ132" s="1767">
        <v>0</v>
      </c>
      <c r="BA132" s="1767">
        <v>0</v>
      </c>
      <c r="BB132" s="1767">
        <v>0</v>
      </c>
      <c r="BC132" s="1767">
        <v>0</v>
      </c>
      <c r="BD132" s="1767">
        <v>0</v>
      </c>
      <c r="BE132" s="1767">
        <v>0</v>
      </c>
      <c r="BF132" s="1767">
        <v>0</v>
      </c>
      <c r="BG132" s="1767">
        <v>0</v>
      </c>
      <c r="BH132" s="1767">
        <v>0</v>
      </c>
      <c r="BI132" s="1767">
        <v>0</v>
      </c>
      <c r="BJ132" s="1767">
        <v>0</v>
      </c>
      <c r="BK132" s="1767">
        <v>0</v>
      </c>
      <c r="BL132" s="1767">
        <v>0</v>
      </c>
      <c r="BM132" s="1767">
        <v>0</v>
      </c>
      <c r="BN132" s="1767">
        <v>0</v>
      </c>
      <c r="BO132" s="1767">
        <v>0</v>
      </c>
      <c r="BP132" s="1767">
        <v>0</v>
      </c>
      <c r="BQ132" s="1767">
        <v>0</v>
      </c>
      <c r="BR132" s="1767">
        <v>0</v>
      </c>
      <c r="BS132" s="1767">
        <v>0</v>
      </c>
      <c r="BT132" s="1767">
        <v>0</v>
      </c>
      <c r="BU132" s="1767">
        <v>0</v>
      </c>
      <c r="BV132" s="1767">
        <v>0</v>
      </c>
      <c r="BW132" s="1767">
        <v>0</v>
      </c>
      <c r="BX132" s="1767">
        <v>0</v>
      </c>
      <c r="BY132" s="1767">
        <v>0</v>
      </c>
      <c r="BZ132" s="1767">
        <v>0</v>
      </c>
      <c r="CA132" s="1767">
        <v>0</v>
      </c>
      <c r="CB132" s="1767">
        <v>0</v>
      </c>
      <c r="CC132" s="1767">
        <v>0</v>
      </c>
      <c r="CD132" s="1767">
        <v>0</v>
      </c>
      <c r="CE132" s="1767">
        <v>0</v>
      </c>
      <c r="CF132" s="1767">
        <v>0</v>
      </c>
      <c r="CG132" s="1767">
        <v>0</v>
      </c>
      <c r="CH132" s="1767">
        <v>0</v>
      </c>
      <c r="CI132" s="1767">
        <v>0</v>
      </c>
      <c r="CJ132" s="1767">
        <v>0</v>
      </c>
      <c r="CK132" s="1767">
        <v>0</v>
      </c>
      <c r="CL132" s="1767">
        <v>0</v>
      </c>
      <c r="CM132" s="1767">
        <v>0</v>
      </c>
      <c r="CN132" s="1767">
        <v>0</v>
      </c>
      <c r="CO132" s="1767">
        <v>0</v>
      </c>
      <c r="CP132" s="1767">
        <v>0</v>
      </c>
    </row>
    <row r="133" spans="1:94" ht="15" customHeight="1" thickBot="1" x14ac:dyDescent="0.25">
      <c r="A133" s="1847"/>
      <c r="B133" s="1834"/>
      <c r="C133" s="965" t="s">
        <v>2113</v>
      </c>
      <c r="D133" s="964"/>
      <c r="E133" s="1834"/>
      <c r="F133" s="1225"/>
      <c r="G133" s="1767">
        <v>0</v>
      </c>
      <c r="H133" s="1767">
        <v>0</v>
      </c>
      <c r="I133" s="1767">
        <v>0</v>
      </c>
      <c r="J133" s="1767">
        <v>0</v>
      </c>
      <c r="K133" s="1767">
        <v>0</v>
      </c>
      <c r="L133" s="1767">
        <v>0</v>
      </c>
      <c r="M133" s="1767">
        <v>0</v>
      </c>
      <c r="N133" s="1767">
        <v>0</v>
      </c>
      <c r="O133" s="1767">
        <v>0</v>
      </c>
      <c r="P133" s="1767">
        <v>0</v>
      </c>
      <c r="Q133" s="1767">
        <v>0</v>
      </c>
      <c r="R133" s="1767">
        <v>0</v>
      </c>
      <c r="S133" s="1767">
        <v>0</v>
      </c>
      <c r="T133" s="1767">
        <v>0</v>
      </c>
      <c r="U133" s="1767">
        <v>0</v>
      </c>
      <c r="V133" s="1767">
        <v>0</v>
      </c>
      <c r="W133" s="1767">
        <v>0</v>
      </c>
      <c r="X133" s="1767">
        <v>0</v>
      </c>
      <c r="Y133" s="1767">
        <v>0</v>
      </c>
      <c r="Z133" s="1767">
        <v>0</v>
      </c>
      <c r="AA133" s="1767">
        <v>0</v>
      </c>
      <c r="AB133" s="1767">
        <v>0</v>
      </c>
      <c r="AC133" s="1767">
        <v>0</v>
      </c>
      <c r="AD133" s="1767">
        <v>0</v>
      </c>
      <c r="AE133" s="1767">
        <v>0</v>
      </c>
      <c r="AF133" s="1767">
        <v>0</v>
      </c>
      <c r="AG133" s="1767">
        <v>0</v>
      </c>
      <c r="AH133" s="1767">
        <v>0</v>
      </c>
      <c r="AI133" s="1767">
        <v>0</v>
      </c>
      <c r="AJ133" s="1767">
        <v>0</v>
      </c>
      <c r="AK133" s="1767">
        <v>0</v>
      </c>
      <c r="AL133" s="1767">
        <v>0</v>
      </c>
      <c r="AM133" s="1767">
        <v>0</v>
      </c>
      <c r="AN133" s="1767">
        <v>0</v>
      </c>
      <c r="AO133" s="1767">
        <v>0</v>
      </c>
      <c r="AP133" s="1767">
        <v>0</v>
      </c>
      <c r="AQ133" s="1767">
        <v>0</v>
      </c>
      <c r="AR133" s="1767">
        <v>0</v>
      </c>
      <c r="AS133" s="1767">
        <v>0</v>
      </c>
      <c r="AT133" s="1767">
        <v>0</v>
      </c>
      <c r="AU133" s="1767">
        <v>0</v>
      </c>
      <c r="AV133" s="1767">
        <v>0</v>
      </c>
      <c r="AW133" s="1767">
        <v>0</v>
      </c>
      <c r="AX133" s="1767">
        <v>0</v>
      </c>
      <c r="AY133" s="1767">
        <v>0</v>
      </c>
      <c r="AZ133" s="1767">
        <v>0</v>
      </c>
      <c r="BA133" s="1767">
        <v>0</v>
      </c>
      <c r="BB133" s="1767">
        <v>0</v>
      </c>
      <c r="BC133" s="1767">
        <v>0</v>
      </c>
      <c r="BD133" s="1767">
        <v>0</v>
      </c>
      <c r="BE133" s="1767">
        <v>0</v>
      </c>
      <c r="BF133" s="1767">
        <v>0</v>
      </c>
      <c r="BG133" s="1767">
        <v>0</v>
      </c>
      <c r="BH133" s="1767">
        <v>0</v>
      </c>
      <c r="BI133" s="1767">
        <v>0</v>
      </c>
      <c r="BJ133" s="1767">
        <v>0</v>
      </c>
      <c r="BK133" s="1767">
        <v>0</v>
      </c>
      <c r="BL133" s="1767">
        <v>0</v>
      </c>
      <c r="BM133" s="1767">
        <v>0</v>
      </c>
      <c r="BN133" s="1767">
        <v>0</v>
      </c>
      <c r="BO133" s="1767">
        <v>0</v>
      </c>
      <c r="BP133" s="1767">
        <v>0</v>
      </c>
      <c r="BQ133" s="1767">
        <v>0</v>
      </c>
      <c r="BR133" s="1767">
        <v>0</v>
      </c>
      <c r="BS133" s="1767">
        <v>0</v>
      </c>
      <c r="BT133" s="1767">
        <v>0</v>
      </c>
      <c r="BU133" s="1767">
        <v>0</v>
      </c>
      <c r="BV133" s="1767">
        <v>0</v>
      </c>
      <c r="BW133" s="1767">
        <v>0</v>
      </c>
      <c r="BX133" s="1767">
        <v>0</v>
      </c>
      <c r="BY133" s="1767">
        <v>0</v>
      </c>
      <c r="BZ133" s="1767">
        <v>0</v>
      </c>
      <c r="CA133" s="1767">
        <v>0</v>
      </c>
      <c r="CB133" s="1767">
        <v>0</v>
      </c>
      <c r="CC133" s="1767">
        <v>0</v>
      </c>
      <c r="CD133" s="1767">
        <v>0</v>
      </c>
      <c r="CE133" s="1767">
        <v>0</v>
      </c>
      <c r="CF133" s="1767">
        <v>0</v>
      </c>
      <c r="CG133" s="1767">
        <v>0</v>
      </c>
      <c r="CH133" s="1767">
        <v>0</v>
      </c>
      <c r="CI133" s="1767">
        <v>0</v>
      </c>
      <c r="CJ133" s="1767">
        <v>0</v>
      </c>
      <c r="CK133" s="1767">
        <v>0</v>
      </c>
      <c r="CL133" s="1767">
        <v>0</v>
      </c>
      <c r="CM133" s="1767">
        <v>0</v>
      </c>
      <c r="CN133" s="1767">
        <v>0</v>
      </c>
      <c r="CO133" s="1767">
        <v>0</v>
      </c>
      <c r="CP133" s="1767">
        <v>0</v>
      </c>
    </row>
    <row r="134" spans="1:94" ht="30" customHeight="1" thickBot="1" x14ac:dyDescent="0.25">
      <c r="A134" s="1849" t="s">
        <v>1299</v>
      </c>
      <c r="B134" s="1891" t="s">
        <v>854</v>
      </c>
      <c r="C134" s="1782" t="s">
        <v>2520</v>
      </c>
      <c r="D134" s="947"/>
      <c r="E134" s="1891" t="s">
        <v>1813</v>
      </c>
      <c r="F134" s="1225"/>
      <c r="G134" s="1742"/>
      <c r="H134" s="1742"/>
      <c r="I134" s="1742"/>
      <c r="J134" s="1742"/>
      <c r="K134" s="1742"/>
      <c r="L134" s="1742"/>
      <c r="M134" s="1742"/>
      <c r="N134" s="1742"/>
      <c r="O134" s="1742"/>
      <c r="P134" s="1742"/>
      <c r="Q134" s="1742"/>
      <c r="R134" s="1742"/>
      <c r="S134" s="1742"/>
      <c r="T134" s="1742"/>
      <c r="U134" s="1742"/>
      <c r="V134" s="1742"/>
      <c r="W134" s="1742"/>
      <c r="X134" s="1742"/>
      <c r="Y134" s="1742"/>
      <c r="Z134" s="1742"/>
      <c r="AA134" s="1742"/>
      <c r="AB134" s="1742"/>
      <c r="AC134" s="1742"/>
      <c r="AD134" s="1742"/>
      <c r="AE134" s="1742"/>
      <c r="AF134" s="1742"/>
      <c r="AG134" s="1742"/>
      <c r="AH134" s="1742"/>
      <c r="AI134" s="1742"/>
      <c r="AJ134" s="1742"/>
      <c r="AK134" s="1742"/>
      <c r="AL134" s="1742"/>
      <c r="AM134" s="1742"/>
      <c r="AN134" s="1742"/>
      <c r="AO134" s="1742"/>
      <c r="AP134" s="1742"/>
      <c r="AQ134" s="1742"/>
      <c r="AR134" s="1742"/>
      <c r="AS134" s="1742"/>
      <c r="AT134" s="1742"/>
      <c r="AU134" s="1742"/>
      <c r="AV134" s="1742"/>
      <c r="AW134" s="1742"/>
      <c r="AX134" s="1742"/>
      <c r="AY134" s="1742"/>
      <c r="AZ134" s="1742"/>
      <c r="BA134" s="1742"/>
      <c r="BB134" s="1742"/>
      <c r="BC134" s="1742"/>
      <c r="BD134" s="1742"/>
      <c r="BE134" s="1742"/>
      <c r="BF134" s="1742"/>
      <c r="BG134" s="1742"/>
      <c r="BH134" s="1742"/>
      <c r="BI134" s="1742"/>
      <c r="BJ134" s="1742"/>
      <c r="BK134" s="1742"/>
      <c r="BL134" s="1742"/>
      <c r="BM134" s="1742"/>
      <c r="BN134" s="1742"/>
      <c r="BO134" s="1742"/>
      <c r="BP134" s="1742"/>
      <c r="BQ134" s="1742"/>
      <c r="BR134" s="1742"/>
      <c r="BS134" s="1742"/>
      <c r="BT134" s="1742"/>
      <c r="BU134" s="1742"/>
      <c r="BV134" s="1742"/>
      <c r="BW134" s="1742"/>
      <c r="BX134" s="1742"/>
      <c r="BY134" s="1742"/>
      <c r="BZ134" s="1742"/>
      <c r="CA134" s="1742"/>
      <c r="CB134" s="1742"/>
      <c r="CC134" s="1742"/>
      <c r="CD134" s="1742"/>
      <c r="CE134" s="1742"/>
      <c r="CF134" s="1742"/>
      <c r="CG134" s="1742"/>
      <c r="CH134" s="1742"/>
      <c r="CI134" s="1742"/>
      <c r="CJ134" s="1742"/>
      <c r="CK134" s="1742"/>
      <c r="CL134" s="1742"/>
      <c r="CM134" s="1742"/>
      <c r="CN134" s="1742"/>
      <c r="CO134" s="1742"/>
      <c r="CP134" s="1742"/>
    </row>
    <row r="135" spans="1:94" ht="15" customHeight="1" x14ac:dyDescent="0.2">
      <c r="A135" s="1847"/>
      <c r="B135" s="1892"/>
      <c r="C135" s="961" t="s">
        <v>628</v>
      </c>
      <c r="D135" s="958"/>
      <c r="E135" s="1892"/>
      <c r="F135" s="1225"/>
      <c r="G135" s="1767">
        <v>0</v>
      </c>
      <c r="H135" s="1767">
        <v>0</v>
      </c>
      <c r="I135" s="1767">
        <v>0</v>
      </c>
      <c r="J135" s="1767">
        <v>0</v>
      </c>
      <c r="K135" s="1767">
        <v>0</v>
      </c>
      <c r="L135" s="1767">
        <v>0</v>
      </c>
      <c r="M135" s="1767">
        <v>0</v>
      </c>
      <c r="N135" s="1767">
        <v>0</v>
      </c>
      <c r="O135" s="1767">
        <v>0</v>
      </c>
      <c r="P135" s="1767">
        <v>0</v>
      </c>
      <c r="Q135" s="1767">
        <v>0</v>
      </c>
      <c r="R135" s="1767">
        <v>0</v>
      </c>
      <c r="S135" s="1767">
        <v>0</v>
      </c>
      <c r="T135" s="1767">
        <v>0</v>
      </c>
      <c r="U135" s="1767">
        <v>0</v>
      </c>
      <c r="V135" s="1767">
        <v>0</v>
      </c>
      <c r="W135" s="1767">
        <v>0</v>
      </c>
      <c r="X135" s="1767">
        <v>0</v>
      </c>
      <c r="Y135" s="1767">
        <v>0</v>
      </c>
      <c r="Z135" s="1767">
        <v>0</v>
      </c>
      <c r="AA135" s="1767">
        <v>0</v>
      </c>
      <c r="AB135" s="1767">
        <v>0</v>
      </c>
      <c r="AC135" s="1767">
        <v>0</v>
      </c>
      <c r="AD135" s="1767">
        <v>0</v>
      </c>
      <c r="AE135" s="1767">
        <v>0</v>
      </c>
      <c r="AF135" s="1767">
        <v>0</v>
      </c>
      <c r="AG135" s="1767">
        <v>0</v>
      </c>
      <c r="AH135" s="1767">
        <v>0</v>
      </c>
      <c r="AI135" s="1767">
        <v>0</v>
      </c>
      <c r="AJ135" s="1767">
        <v>0</v>
      </c>
      <c r="AK135" s="1767">
        <v>0</v>
      </c>
      <c r="AL135" s="1767">
        <v>0</v>
      </c>
      <c r="AM135" s="1767">
        <v>0</v>
      </c>
      <c r="AN135" s="1767">
        <v>0</v>
      </c>
      <c r="AO135" s="1767">
        <v>0</v>
      </c>
      <c r="AP135" s="1767">
        <v>0</v>
      </c>
      <c r="AQ135" s="1767">
        <v>0</v>
      </c>
      <c r="AR135" s="1767">
        <v>0</v>
      </c>
      <c r="AS135" s="1767">
        <v>0</v>
      </c>
      <c r="AT135" s="1767">
        <v>0</v>
      </c>
      <c r="AU135" s="1767">
        <v>0</v>
      </c>
      <c r="AV135" s="1767">
        <v>0</v>
      </c>
      <c r="AW135" s="1767">
        <v>0</v>
      </c>
      <c r="AX135" s="1767">
        <v>0</v>
      </c>
      <c r="AY135" s="1767">
        <v>0</v>
      </c>
      <c r="AZ135" s="1767">
        <v>0</v>
      </c>
      <c r="BA135" s="1767">
        <v>0</v>
      </c>
      <c r="BB135" s="1767">
        <v>0</v>
      </c>
      <c r="BC135" s="1767">
        <v>0</v>
      </c>
      <c r="BD135" s="1767">
        <v>0</v>
      </c>
      <c r="BE135" s="1767">
        <v>0</v>
      </c>
      <c r="BF135" s="1767">
        <v>0</v>
      </c>
      <c r="BG135" s="1767">
        <v>0</v>
      </c>
      <c r="BH135" s="1767">
        <v>0</v>
      </c>
      <c r="BI135" s="1767">
        <v>0</v>
      </c>
      <c r="BJ135" s="1767">
        <v>0</v>
      </c>
      <c r="BK135" s="1767">
        <v>0</v>
      </c>
      <c r="BL135" s="1767">
        <v>0</v>
      </c>
      <c r="BM135" s="1767">
        <v>0</v>
      </c>
      <c r="BN135" s="1767">
        <v>0</v>
      </c>
      <c r="BO135" s="1767">
        <v>0</v>
      </c>
      <c r="BP135" s="1767">
        <v>0</v>
      </c>
      <c r="BQ135" s="1767">
        <v>0</v>
      </c>
      <c r="BR135" s="1767">
        <v>0</v>
      </c>
      <c r="BS135" s="1767">
        <v>0</v>
      </c>
      <c r="BT135" s="1767">
        <v>0</v>
      </c>
      <c r="BU135" s="1767">
        <v>0</v>
      </c>
      <c r="BV135" s="1767">
        <v>0</v>
      </c>
      <c r="BW135" s="1767">
        <v>0</v>
      </c>
      <c r="BX135" s="1767">
        <v>0</v>
      </c>
      <c r="BY135" s="1767">
        <v>0</v>
      </c>
      <c r="BZ135" s="1767">
        <v>0</v>
      </c>
      <c r="CA135" s="1767">
        <v>0</v>
      </c>
      <c r="CB135" s="1767">
        <v>0</v>
      </c>
      <c r="CC135" s="1767">
        <v>0</v>
      </c>
      <c r="CD135" s="1767">
        <v>0</v>
      </c>
      <c r="CE135" s="1767">
        <v>0</v>
      </c>
      <c r="CF135" s="1767">
        <v>0</v>
      </c>
      <c r="CG135" s="1767">
        <v>0</v>
      </c>
      <c r="CH135" s="1767">
        <v>0</v>
      </c>
      <c r="CI135" s="1767">
        <v>0</v>
      </c>
      <c r="CJ135" s="1767">
        <v>0</v>
      </c>
      <c r="CK135" s="1767">
        <v>0</v>
      </c>
      <c r="CL135" s="1767">
        <v>0</v>
      </c>
      <c r="CM135" s="1767">
        <v>0</v>
      </c>
      <c r="CN135" s="1767">
        <v>0</v>
      </c>
      <c r="CO135" s="1767">
        <v>0</v>
      </c>
      <c r="CP135" s="1767">
        <v>0</v>
      </c>
    </row>
    <row r="136" spans="1:94" ht="15" customHeight="1" x14ac:dyDescent="0.2">
      <c r="A136" s="1847"/>
      <c r="B136" s="1892"/>
      <c r="C136" s="962" t="s">
        <v>2114</v>
      </c>
      <c r="D136" s="958"/>
      <c r="E136" s="1892"/>
      <c r="F136" s="1225"/>
      <c r="G136" s="1767">
        <v>0</v>
      </c>
      <c r="H136" s="1767">
        <v>0</v>
      </c>
      <c r="I136" s="1767">
        <v>0</v>
      </c>
      <c r="J136" s="1767">
        <v>0</v>
      </c>
      <c r="K136" s="1767">
        <v>0</v>
      </c>
      <c r="L136" s="1767">
        <v>0</v>
      </c>
      <c r="M136" s="1767">
        <v>0</v>
      </c>
      <c r="N136" s="1767">
        <v>0</v>
      </c>
      <c r="O136" s="1767">
        <v>0</v>
      </c>
      <c r="P136" s="1767">
        <v>0</v>
      </c>
      <c r="Q136" s="1767">
        <v>0</v>
      </c>
      <c r="R136" s="1767">
        <v>0</v>
      </c>
      <c r="S136" s="1767">
        <v>0</v>
      </c>
      <c r="T136" s="1767">
        <v>0</v>
      </c>
      <c r="U136" s="1767">
        <v>0</v>
      </c>
      <c r="V136" s="1767">
        <v>0</v>
      </c>
      <c r="W136" s="1767">
        <v>0</v>
      </c>
      <c r="X136" s="1767">
        <v>0</v>
      </c>
      <c r="Y136" s="1767">
        <v>0</v>
      </c>
      <c r="Z136" s="1767">
        <v>0</v>
      </c>
      <c r="AA136" s="1767">
        <v>0</v>
      </c>
      <c r="AB136" s="1767">
        <v>0</v>
      </c>
      <c r="AC136" s="1767">
        <v>0</v>
      </c>
      <c r="AD136" s="1767">
        <v>0</v>
      </c>
      <c r="AE136" s="1767">
        <v>0</v>
      </c>
      <c r="AF136" s="1767">
        <v>0</v>
      </c>
      <c r="AG136" s="1767">
        <v>0</v>
      </c>
      <c r="AH136" s="1767">
        <v>0</v>
      </c>
      <c r="AI136" s="1767">
        <v>0</v>
      </c>
      <c r="AJ136" s="1767">
        <v>0</v>
      </c>
      <c r="AK136" s="1767">
        <v>0</v>
      </c>
      <c r="AL136" s="1767">
        <v>0</v>
      </c>
      <c r="AM136" s="1767">
        <v>0</v>
      </c>
      <c r="AN136" s="1767">
        <v>0</v>
      </c>
      <c r="AO136" s="1767">
        <v>0</v>
      </c>
      <c r="AP136" s="1767">
        <v>0</v>
      </c>
      <c r="AQ136" s="1767">
        <v>0</v>
      </c>
      <c r="AR136" s="1767">
        <v>0</v>
      </c>
      <c r="AS136" s="1767">
        <v>0</v>
      </c>
      <c r="AT136" s="1767">
        <v>0</v>
      </c>
      <c r="AU136" s="1767">
        <v>0</v>
      </c>
      <c r="AV136" s="1767">
        <v>0</v>
      </c>
      <c r="AW136" s="1767">
        <v>0</v>
      </c>
      <c r="AX136" s="1767">
        <v>0</v>
      </c>
      <c r="AY136" s="1767">
        <v>0</v>
      </c>
      <c r="AZ136" s="1767">
        <v>0</v>
      </c>
      <c r="BA136" s="1767">
        <v>0</v>
      </c>
      <c r="BB136" s="1767">
        <v>0</v>
      </c>
      <c r="BC136" s="1767">
        <v>0</v>
      </c>
      <c r="BD136" s="1767">
        <v>0</v>
      </c>
      <c r="BE136" s="1767">
        <v>0</v>
      </c>
      <c r="BF136" s="1767">
        <v>0</v>
      </c>
      <c r="BG136" s="1767">
        <v>0</v>
      </c>
      <c r="BH136" s="1767">
        <v>0</v>
      </c>
      <c r="BI136" s="1767">
        <v>0</v>
      </c>
      <c r="BJ136" s="1767">
        <v>0</v>
      </c>
      <c r="BK136" s="1767">
        <v>0</v>
      </c>
      <c r="BL136" s="1767">
        <v>0</v>
      </c>
      <c r="BM136" s="1767">
        <v>0</v>
      </c>
      <c r="BN136" s="1767">
        <v>0</v>
      </c>
      <c r="BO136" s="1767">
        <v>0</v>
      </c>
      <c r="BP136" s="1767">
        <v>0</v>
      </c>
      <c r="BQ136" s="1767">
        <v>0</v>
      </c>
      <c r="BR136" s="1767">
        <v>0</v>
      </c>
      <c r="BS136" s="1767">
        <v>0</v>
      </c>
      <c r="BT136" s="1767">
        <v>0</v>
      </c>
      <c r="BU136" s="1767">
        <v>0</v>
      </c>
      <c r="BV136" s="1767">
        <v>0</v>
      </c>
      <c r="BW136" s="1767">
        <v>0</v>
      </c>
      <c r="BX136" s="1767">
        <v>0</v>
      </c>
      <c r="BY136" s="1767">
        <v>0</v>
      </c>
      <c r="BZ136" s="1767">
        <v>0</v>
      </c>
      <c r="CA136" s="1767">
        <v>0</v>
      </c>
      <c r="CB136" s="1767">
        <v>0</v>
      </c>
      <c r="CC136" s="1767">
        <v>0</v>
      </c>
      <c r="CD136" s="1767">
        <v>0</v>
      </c>
      <c r="CE136" s="1767">
        <v>0</v>
      </c>
      <c r="CF136" s="1767">
        <v>0</v>
      </c>
      <c r="CG136" s="1767">
        <v>0</v>
      </c>
      <c r="CH136" s="1767">
        <v>0</v>
      </c>
      <c r="CI136" s="1767">
        <v>0</v>
      </c>
      <c r="CJ136" s="1767">
        <v>0</v>
      </c>
      <c r="CK136" s="1767">
        <v>0</v>
      </c>
      <c r="CL136" s="1767">
        <v>0</v>
      </c>
      <c r="CM136" s="1767">
        <v>0</v>
      </c>
      <c r="CN136" s="1767">
        <v>0</v>
      </c>
      <c r="CO136" s="1767">
        <v>0</v>
      </c>
      <c r="CP136" s="1767">
        <v>0</v>
      </c>
    </row>
    <row r="137" spans="1:94" ht="15" customHeight="1" x14ac:dyDescent="0.2">
      <c r="A137" s="1847"/>
      <c r="B137" s="1892"/>
      <c r="C137" s="962" t="s">
        <v>2115</v>
      </c>
      <c r="D137" s="958"/>
      <c r="E137" s="1892"/>
      <c r="F137" s="1225"/>
      <c r="G137" s="1767">
        <v>0</v>
      </c>
      <c r="H137" s="1767">
        <v>0</v>
      </c>
      <c r="I137" s="1767">
        <v>0</v>
      </c>
      <c r="J137" s="1767">
        <v>0</v>
      </c>
      <c r="K137" s="1767">
        <v>0</v>
      </c>
      <c r="L137" s="1767">
        <v>0</v>
      </c>
      <c r="M137" s="1767">
        <v>0</v>
      </c>
      <c r="N137" s="1767">
        <v>0</v>
      </c>
      <c r="O137" s="1767">
        <v>0</v>
      </c>
      <c r="P137" s="1767">
        <v>0</v>
      </c>
      <c r="Q137" s="1767">
        <v>0</v>
      </c>
      <c r="R137" s="1767">
        <v>0</v>
      </c>
      <c r="S137" s="1767">
        <v>0</v>
      </c>
      <c r="T137" s="1767">
        <v>0</v>
      </c>
      <c r="U137" s="1767">
        <v>0</v>
      </c>
      <c r="V137" s="1767">
        <v>0</v>
      </c>
      <c r="W137" s="1767">
        <v>0</v>
      </c>
      <c r="X137" s="1767">
        <v>0</v>
      </c>
      <c r="Y137" s="1767">
        <v>0</v>
      </c>
      <c r="Z137" s="1767">
        <v>0</v>
      </c>
      <c r="AA137" s="1767">
        <v>0</v>
      </c>
      <c r="AB137" s="1767">
        <v>0</v>
      </c>
      <c r="AC137" s="1767">
        <v>0</v>
      </c>
      <c r="AD137" s="1767">
        <v>0</v>
      </c>
      <c r="AE137" s="1767">
        <v>0</v>
      </c>
      <c r="AF137" s="1767">
        <v>0</v>
      </c>
      <c r="AG137" s="1767">
        <v>0</v>
      </c>
      <c r="AH137" s="1767">
        <v>0</v>
      </c>
      <c r="AI137" s="1767">
        <v>0</v>
      </c>
      <c r="AJ137" s="1767">
        <v>0</v>
      </c>
      <c r="AK137" s="1767">
        <v>0</v>
      </c>
      <c r="AL137" s="1767">
        <v>0</v>
      </c>
      <c r="AM137" s="1767">
        <v>0</v>
      </c>
      <c r="AN137" s="1767">
        <v>0</v>
      </c>
      <c r="AO137" s="1767">
        <v>0</v>
      </c>
      <c r="AP137" s="1767">
        <v>0</v>
      </c>
      <c r="AQ137" s="1767">
        <v>0</v>
      </c>
      <c r="AR137" s="1767">
        <v>0</v>
      </c>
      <c r="AS137" s="1767">
        <v>0</v>
      </c>
      <c r="AT137" s="1767">
        <v>0</v>
      </c>
      <c r="AU137" s="1767">
        <v>0</v>
      </c>
      <c r="AV137" s="1767">
        <v>0</v>
      </c>
      <c r="AW137" s="1767">
        <v>0</v>
      </c>
      <c r="AX137" s="1767">
        <v>0</v>
      </c>
      <c r="AY137" s="1767">
        <v>0</v>
      </c>
      <c r="AZ137" s="1767">
        <v>0</v>
      </c>
      <c r="BA137" s="1767">
        <v>0</v>
      </c>
      <c r="BB137" s="1767">
        <v>0</v>
      </c>
      <c r="BC137" s="1767">
        <v>0</v>
      </c>
      <c r="BD137" s="1767">
        <v>0</v>
      </c>
      <c r="BE137" s="1767">
        <v>0</v>
      </c>
      <c r="BF137" s="1767">
        <v>0</v>
      </c>
      <c r="BG137" s="1767">
        <v>0</v>
      </c>
      <c r="BH137" s="1767">
        <v>0</v>
      </c>
      <c r="BI137" s="1767">
        <v>0</v>
      </c>
      <c r="BJ137" s="1767">
        <v>0</v>
      </c>
      <c r="BK137" s="1767">
        <v>0</v>
      </c>
      <c r="BL137" s="1767">
        <v>0</v>
      </c>
      <c r="BM137" s="1767">
        <v>0</v>
      </c>
      <c r="BN137" s="1767">
        <v>0</v>
      </c>
      <c r="BO137" s="1767">
        <v>0</v>
      </c>
      <c r="BP137" s="1767">
        <v>0</v>
      </c>
      <c r="BQ137" s="1767">
        <v>0</v>
      </c>
      <c r="BR137" s="1767">
        <v>0</v>
      </c>
      <c r="BS137" s="1767">
        <v>0</v>
      </c>
      <c r="BT137" s="1767">
        <v>0</v>
      </c>
      <c r="BU137" s="1767">
        <v>0</v>
      </c>
      <c r="BV137" s="1767">
        <v>0</v>
      </c>
      <c r="BW137" s="1767">
        <v>0</v>
      </c>
      <c r="BX137" s="1767">
        <v>0</v>
      </c>
      <c r="BY137" s="1767">
        <v>0</v>
      </c>
      <c r="BZ137" s="1767">
        <v>0</v>
      </c>
      <c r="CA137" s="1767">
        <v>0</v>
      </c>
      <c r="CB137" s="1767">
        <v>0</v>
      </c>
      <c r="CC137" s="1767">
        <v>0</v>
      </c>
      <c r="CD137" s="1767">
        <v>0</v>
      </c>
      <c r="CE137" s="1767">
        <v>0</v>
      </c>
      <c r="CF137" s="1767">
        <v>0</v>
      </c>
      <c r="CG137" s="1767">
        <v>0</v>
      </c>
      <c r="CH137" s="1767">
        <v>0</v>
      </c>
      <c r="CI137" s="1767">
        <v>0</v>
      </c>
      <c r="CJ137" s="1767">
        <v>0</v>
      </c>
      <c r="CK137" s="1767">
        <v>0</v>
      </c>
      <c r="CL137" s="1767">
        <v>0</v>
      </c>
      <c r="CM137" s="1767">
        <v>0</v>
      </c>
      <c r="CN137" s="1767">
        <v>0</v>
      </c>
      <c r="CO137" s="1767">
        <v>0</v>
      </c>
      <c r="CP137" s="1767">
        <v>0</v>
      </c>
    </row>
    <row r="138" spans="1:94" ht="15" customHeight="1" x14ac:dyDescent="0.2">
      <c r="A138" s="1847"/>
      <c r="B138" s="1892"/>
      <c r="C138" s="962" t="s">
        <v>2116</v>
      </c>
      <c r="D138" s="958"/>
      <c r="E138" s="1892"/>
      <c r="F138" s="1225"/>
      <c r="G138" s="1767">
        <v>0</v>
      </c>
      <c r="H138" s="1767">
        <v>0</v>
      </c>
      <c r="I138" s="1767">
        <v>0</v>
      </c>
      <c r="J138" s="1767">
        <v>0</v>
      </c>
      <c r="K138" s="1767">
        <v>0</v>
      </c>
      <c r="L138" s="1767">
        <v>0</v>
      </c>
      <c r="M138" s="1767">
        <v>0</v>
      </c>
      <c r="N138" s="1767">
        <v>0</v>
      </c>
      <c r="O138" s="1767">
        <v>0</v>
      </c>
      <c r="P138" s="1767">
        <v>0</v>
      </c>
      <c r="Q138" s="1767">
        <v>0</v>
      </c>
      <c r="R138" s="1767">
        <v>0</v>
      </c>
      <c r="S138" s="1767">
        <v>0</v>
      </c>
      <c r="T138" s="1767">
        <v>0</v>
      </c>
      <c r="U138" s="1767">
        <v>0</v>
      </c>
      <c r="V138" s="1767">
        <v>0</v>
      </c>
      <c r="W138" s="1767">
        <v>0</v>
      </c>
      <c r="X138" s="1767">
        <v>0</v>
      </c>
      <c r="Y138" s="1767">
        <v>0</v>
      </c>
      <c r="Z138" s="1767">
        <v>0</v>
      </c>
      <c r="AA138" s="1767">
        <v>0</v>
      </c>
      <c r="AB138" s="1767">
        <v>0</v>
      </c>
      <c r="AC138" s="1767">
        <v>0</v>
      </c>
      <c r="AD138" s="1767">
        <v>0</v>
      </c>
      <c r="AE138" s="1767">
        <v>0</v>
      </c>
      <c r="AF138" s="1767">
        <v>0</v>
      </c>
      <c r="AG138" s="1767">
        <v>0</v>
      </c>
      <c r="AH138" s="1767">
        <v>0</v>
      </c>
      <c r="AI138" s="1767">
        <v>0</v>
      </c>
      <c r="AJ138" s="1767">
        <v>0</v>
      </c>
      <c r="AK138" s="1767">
        <v>0</v>
      </c>
      <c r="AL138" s="1767">
        <v>0</v>
      </c>
      <c r="AM138" s="1767">
        <v>0</v>
      </c>
      <c r="AN138" s="1767">
        <v>0</v>
      </c>
      <c r="AO138" s="1767">
        <v>0</v>
      </c>
      <c r="AP138" s="1767">
        <v>0</v>
      </c>
      <c r="AQ138" s="1767">
        <v>0</v>
      </c>
      <c r="AR138" s="1767">
        <v>0</v>
      </c>
      <c r="AS138" s="1767">
        <v>0</v>
      </c>
      <c r="AT138" s="1767">
        <v>0</v>
      </c>
      <c r="AU138" s="1767">
        <v>0</v>
      </c>
      <c r="AV138" s="1767">
        <v>0</v>
      </c>
      <c r="AW138" s="1767">
        <v>0</v>
      </c>
      <c r="AX138" s="1767">
        <v>0</v>
      </c>
      <c r="AY138" s="1767">
        <v>0</v>
      </c>
      <c r="AZ138" s="1767">
        <v>0</v>
      </c>
      <c r="BA138" s="1767">
        <v>0</v>
      </c>
      <c r="BB138" s="1767">
        <v>0</v>
      </c>
      <c r="BC138" s="1767">
        <v>0</v>
      </c>
      <c r="BD138" s="1767">
        <v>0</v>
      </c>
      <c r="BE138" s="1767">
        <v>0</v>
      </c>
      <c r="BF138" s="1767">
        <v>0</v>
      </c>
      <c r="BG138" s="1767">
        <v>0</v>
      </c>
      <c r="BH138" s="1767">
        <v>0</v>
      </c>
      <c r="BI138" s="1767">
        <v>0</v>
      </c>
      <c r="BJ138" s="1767">
        <v>0</v>
      </c>
      <c r="BK138" s="1767">
        <v>0</v>
      </c>
      <c r="BL138" s="1767">
        <v>0</v>
      </c>
      <c r="BM138" s="1767">
        <v>0</v>
      </c>
      <c r="BN138" s="1767">
        <v>0</v>
      </c>
      <c r="BO138" s="1767">
        <v>0</v>
      </c>
      <c r="BP138" s="1767">
        <v>0</v>
      </c>
      <c r="BQ138" s="1767">
        <v>0</v>
      </c>
      <c r="BR138" s="1767">
        <v>0</v>
      </c>
      <c r="BS138" s="1767">
        <v>0</v>
      </c>
      <c r="BT138" s="1767">
        <v>0</v>
      </c>
      <c r="BU138" s="1767">
        <v>0</v>
      </c>
      <c r="BV138" s="1767">
        <v>0</v>
      </c>
      <c r="BW138" s="1767">
        <v>0</v>
      </c>
      <c r="BX138" s="1767">
        <v>0</v>
      </c>
      <c r="BY138" s="1767">
        <v>0</v>
      </c>
      <c r="BZ138" s="1767">
        <v>0</v>
      </c>
      <c r="CA138" s="1767">
        <v>0</v>
      </c>
      <c r="CB138" s="1767">
        <v>0</v>
      </c>
      <c r="CC138" s="1767">
        <v>0</v>
      </c>
      <c r="CD138" s="1767">
        <v>0</v>
      </c>
      <c r="CE138" s="1767">
        <v>0</v>
      </c>
      <c r="CF138" s="1767">
        <v>0</v>
      </c>
      <c r="CG138" s="1767">
        <v>0</v>
      </c>
      <c r="CH138" s="1767">
        <v>0</v>
      </c>
      <c r="CI138" s="1767">
        <v>0</v>
      </c>
      <c r="CJ138" s="1767">
        <v>0</v>
      </c>
      <c r="CK138" s="1767">
        <v>0</v>
      </c>
      <c r="CL138" s="1767">
        <v>0</v>
      </c>
      <c r="CM138" s="1767">
        <v>0</v>
      </c>
      <c r="CN138" s="1767">
        <v>0</v>
      </c>
      <c r="CO138" s="1767">
        <v>0</v>
      </c>
      <c r="CP138" s="1767">
        <v>0</v>
      </c>
    </row>
    <row r="139" spans="1:94" ht="15" customHeight="1" thickBot="1" x14ac:dyDescent="0.25">
      <c r="A139" s="1848"/>
      <c r="B139" s="1893"/>
      <c r="C139" s="965" t="s">
        <v>2117</v>
      </c>
      <c r="D139" s="959"/>
      <c r="E139" s="1893"/>
      <c r="F139" s="1225"/>
      <c r="G139" s="1767">
        <v>0</v>
      </c>
      <c r="H139" s="1767">
        <v>0</v>
      </c>
      <c r="I139" s="1767">
        <v>0</v>
      </c>
      <c r="J139" s="1767">
        <v>0</v>
      </c>
      <c r="K139" s="1767">
        <v>0</v>
      </c>
      <c r="L139" s="1767">
        <v>0</v>
      </c>
      <c r="M139" s="1767">
        <v>0</v>
      </c>
      <c r="N139" s="1767">
        <v>0</v>
      </c>
      <c r="O139" s="1767">
        <v>0</v>
      </c>
      <c r="P139" s="1767">
        <v>0</v>
      </c>
      <c r="Q139" s="1767">
        <v>0</v>
      </c>
      <c r="R139" s="1767">
        <v>0</v>
      </c>
      <c r="S139" s="1767">
        <v>0</v>
      </c>
      <c r="T139" s="1767">
        <v>0</v>
      </c>
      <c r="U139" s="1767">
        <v>0</v>
      </c>
      <c r="V139" s="1767">
        <v>0</v>
      </c>
      <c r="W139" s="1767">
        <v>0</v>
      </c>
      <c r="X139" s="1767">
        <v>0</v>
      </c>
      <c r="Y139" s="1767">
        <v>0</v>
      </c>
      <c r="Z139" s="1767">
        <v>0</v>
      </c>
      <c r="AA139" s="1767">
        <v>0</v>
      </c>
      <c r="AB139" s="1767">
        <v>0</v>
      </c>
      <c r="AC139" s="1767">
        <v>0</v>
      </c>
      <c r="AD139" s="1767">
        <v>0</v>
      </c>
      <c r="AE139" s="1767">
        <v>0</v>
      </c>
      <c r="AF139" s="1767">
        <v>0</v>
      </c>
      <c r="AG139" s="1767">
        <v>0</v>
      </c>
      <c r="AH139" s="1767">
        <v>0</v>
      </c>
      <c r="AI139" s="1767">
        <v>0</v>
      </c>
      <c r="AJ139" s="1767">
        <v>0</v>
      </c>
      <c r="AK139" s="1767">
        <v>0</v>
      </c>
      <c r="AL139" s="1767">
        <v>0</v>
      </c>
      <c r="AM139" s="1767">
        <v>0</v>
      </c>
      <c r="AN139" s="1767">
        <v>0</v>
      </c>
      <c r="AO139" s="1767">
        <v>0</v>
      </c>
      <c r="AP139" s="1767">
        <v>0</v>
      </c>
      <c r="AQ139" s="1767">
        <v>0</v>
      </c>
      <c r="AR139" s="1767">
        <v>0</v>
      </c>
      <c r="AS139" s="1767">
        <v>0</v>
      </c>
      <c r="AT139" s="1767">
        <v>0</v>
      </c>
      <c r="AU139" s="1767">
        <v>0</v>
      </c>
      <c r="AV139" s="1767">
        <v>0</v>
      </c>
      <c r="AW139" s="1767">
        <v>0</v>
      </c>
      <c r="AX139" s="1767">
        <v>0</v>
      </c>
      <c r="AY139" s="1767">
        <v>0</v>
      </c>
      <c r="AZ139" s="1767">
        <v>0</v>
      </c>
      <c r="BA139" s="1767">
        <v>0</v>
      </c>
      <c r="BB139" s="1767">
        <v>0</v>
      </c>
      <c r="BC139" s="1767">
        <v>0</v>
      </c>
      <c r="BD139" s="1767">
        <v>0</v>
      </c>
      <c r="BE139" s="1767">
        <v>0</v>
      </c>
      <c r="BF139" s="1767">
        <v>0</v>
      </c>
      <c r="BG139" s="1767">
        <v>0</v>
      </c>
      <c r="BH139" s="1767">
        <v>0</v>
      </c>
      <c r="BI139" s="1767">
        <v>0</v>
      </c>
      <c r="BJ139" s="1767">
        <v>0</v>
      </c>
      <c r="BK139" s="1767">
        <v>0</v>
      </c>
      <c r="BL139" s="1767">
        <v>0</v>
      </c>
      <c r="BM139" s="1767">
        <v>0</v>
      </c>
      <c r="BN139" s="1767">
        <v>0</v>
      </c>
      <c r="BO139" s="1767">
        <v>0</v>
      </c>
      <c r="BP139" s="1767">
        <v>0</v>
      </c>
      <c r="BQ139" s="1767">
        <v>0</v>
      </c>
      <c r="BR139" s="1767">
        <v>0</v>
      </c>
      <c r="BS139" s="1767">
        <v>0</v>
      </c>
      <c r="BT139" s="1767">
        <v>0</v>
      </c>
      <c r="BU139" s="1767">
        <v>0</v>
      </c>
      <c r="BV139" s="1767">
        <v>0</v>
      </c>
      <c r="BW139" s="1767">
        <v>0</v>
      </c>
      <c r="BX139" s="1767">
        <v>0</v>
      </c>
      <c r="BY139" s="1767">
        <v>0</v>
      </c>
      <c r="BZ139" s="1767">
        <v>0</v>
      </c>
      <c r="CA139" s="1767">
        <v>0</v>
      </c>
      <c r="CB139" s="1767">
        <v>0</v>
      </c>
      <c r="CC139" s="1767">
        <v>0</v>
      </c>
      <c r="CD139" s="1767">
        <v>0</v>
      </c>
      <c r="CE139" s="1767">
        <v>0</v>
      </c>
      <c r="CF139" s="1767">
        <v>0</v>
      </c>
      <c r="CG139" s="1767">
        <v>0</v>
      </c>
      <c r="CH139" s="1767">
        <v>0</v>
      </c>
      <c r="CI139" s="1767">
        <v>0</v>
      </c>
      <c r="CJ139" s="1767">
        <v>0</v>
      </c>
      <c r="CK139" s="1767">
        <v>0</v>
      </c>
      <c r="CL139" s="1767">
        <v>0</v>
      </c>
      <c r="CM139" s="1767">
        <v>0</v>
      </c>
      <c r="CN139" s="1767">
        <v>0</v>
      </c>
      <c r="CO139" s="1767">
        <v>0</v>
      </c>
      <c r="CP139" s="1767">
        <v>0</v>
      </c>
    </row>
    <row r="140" spans="1:94" ht="32.25" customHeight="1" thickBot="1" x14ac:dyDescent="0.25">
      <c r="A140" s="1357" t="s">
        <v>1300</v>
      </c>
      <c r="B140" s="1364" t="s">
        <v>281</v>
      </c>
      <c r="C140" s="1783" t="s">
        <v>2318</v>
      </c>
      <c r="D140" s="966"/>
      <c r="E140" s="829" t="s">
        <v>1814</v>
      </c>
      <c r="F140" s="1225"/>
      <c r="G140" s="1768">
        <v>0</v>
      </c>
      <c r="H140" s="1768">
        <v>0</v>
      </c>
      <c r="I140" s="1768">
        <v>0</v>
      </c>
      <c r="J140" s="1768">
        <v>0</v>
      </c>
      <c r="K140" s="1768">
        <v>0</v>
      </c>
      <c r="L140" s="1768">
        <v>0</v>
      </c>
      <c r="M140" s="1768">
        <v>0</v>
      </c>
      <c r="N140" s="1768">
        <v>0</v>
      </c>
      <c r="O140" s="1768">
        <v>0</v>
      </c>
      <c r="P140" s="1768">
        <v>0</v>
      </c>
      <c r="Q140" s="1768">
        <v>0</v>
      </c>
      <c r="R140" s="1768">
        <v>0</v>
      </c>
      <c r="S140" s="1768">
        <v>0</v>
      </c>
      <c r="T140" s="1768">
        <v>0</v>
      </c>
      <c r="U140" s="1768">
        <v>0</v>
      </c>
      <c r="V140" s="1768">
        <v>0</v>
      </c>
      <c r="W140" s="1768">
        <v>0</v>
      </c>
      <c r="X140" s="1768">
        <v>0</v>
      </c>
      <c r="Y140" s="1768">
        <v>0</v>
      </c>
      <c r="Z140" s="1768">
        <v>0</v>
      </c>
      <c r="AA140" s="1768">
        <v>0</v>
      </c>
      <c r="AB140" s="1768">
        <v>0</v>
      </c>
      <c r="AC140" s="1768">
        <v>0</v>
      </c>
      <c r="AD140" s="1768">
        <v>0</v>
      </c>
      <c r="AE140" s="1768">
        <v>0</v>
      </c>
      <c r="AF140" s="1768">
        <v>0</v>
      </c>
      <c r="AG140" s="1768">
        <v>0</v>
      </c>
      <c r="AH140" s="1768">
        <v>0</v>
      </c>
      <c r="AI140" s="1768">
        <v>0</v>
      </c>
      <c r="AJ140" s="1768">
        <v>0</v>
      </c>
      <c r="AK140" s="1768">
        <v>0</v>
      </c>
      <c r="AL140" s="1768">
        <v>0</v>
      </c>
      <c r="AM140" s="1768">
        <v>0</v>
      </c>
      <c r="AN140" s="1768">
        <v>0</v>
      </c>
      <c r="AO140" s="1768">
        <v>0</v>
      </c>
      <c r="AP140" s="1768">
        <v>0</v>
      </c>
      <c r="AQ140" s="1768">
        <v>0</v>
      </c>
      <c r="AR140" s="1768">
        <v>0</v>
      </c>
      <c r="AS140" s="1768">
        <v>0</v>
      </c>
      <c r="AT140" s="1768">
        <v>0</v>
      </c>
      <c r="AU140" s="1768">
        <v>0</v>
      </c>
      <c r="AV140" s="1768">
        <v>0</v>
      </c>
      <c r="AW140" s="1768">
        <v>0</v>
      </c>
      <c r="AX140" s="1768">
        <v>0</v>
      </c>
      <c r="AY140" s="1768">
        <v>0</v>
      </c>
      <c r="AZ140" s="1768">
        <v>0</v>
      </c>
      <c r="BA140" s="1768">
        <v>0</v>
      </c>
      <c r="BB140" s="1768">
        <v>0</v>
      </c>
      <c r="BC140" s="1768">
        <v>0</v>
      </c>
      <c r="BD140" s="1768">
        <v>0</v>
      </c>
      <c r="BE140" s="1768">
        <v>0</v>
      </c>
      <c r="BF140" s="1768">
        <v>0</v>
      </c>
      <c r="BG140" s="1768">
        <v>0</v>
      </c>
      <c r="BH140" s="1768">
        <v>0</v>
      </c>
      <c r="BI140" s="1768">
        <v>0</v>
      </c>
      <c r="BJ140" s="1768">
        <v>0</v>
      </c>
      <c r="BK140" s="1768">
        <v>0</v>
      </c>
      <c r="BL140" s="1768">
        <v>0</v>
      </c>
      <c r="BM140" s="1768">
        <v>0</v>
      </c>
      <c r="BN140" s="1768">
        <v>0</v>
      </c>
      <c r="BO140" s="1768">
        <v>0</v>
      </c>
      <c r="BP140" s="1768">
        <v>0</v>
      </c>
      <c r="BQ140" s="1768">
        <v>0</v>
      </c>
      <c r="BR140" s="1768">
        <v>0</v>
      </c>
      <c r="BS140" s="1768">
        <v>0</v>
      </c>
      <c r="BT140" s="1768">
        <v>0</v>
      </c>
      <c r="BU140" s="1768">
        <v>0</v>
      </c>
      <c r="BV140" s="1768">
        <v>0</v>
      </c>
      <c r="BW140" s="1768">
        <v>0</v>
      </c>
      <c r="BX140" s="1768">
        <v>0</v>
      </c>
      <c r="BY140" s="1768">
        <v>0</v>
      </c>
      <c r="BZ140" s="1768">
        <v>0</v>
      </c>
      <c r="CA140" s="1768">
        <v>0</v>
      </c>
      <c r="CB140" s="1768">
        <v>0</v>
      </c>
      <c r="CC140" s="1768">
        <v>0</v>
      </c>
      <c r="CD140" s="1768">
        <v>0</v>
      </c>
      <c r="CE140" s="1768">
        <v>0</v>
      </c>
      <c r="CF140" s="1768">
        <v>0</v>
      </c>
      <c r="CG140" s="1768">
        <v>0</v>
      </c>
      <c r="CH140" s="1768">
        <v>0</v>
      </c>
      <c r="CI140" s="1768">
        <v>0</v>
      </c>
      <c r="CJ140" s="1768">
        <v>0</v>
      </c>
      <c r="CK140" s="1768">
        <v>0</v>
      </c>
      <c r="CL140" s="1768">
        <v>0</v>
      </c>
      <c r="CM140" s="1768">
        <v>0</v>
      </c>
      <c r="CN140" s="1768">
        <v>0</v>
      </c>
      <c r="CO140" s="1768">
        <v>0</v>
      </c>
      <c r="CP140" s="1768">
        <v>0</v>
      </c>
    </row>
    <row r="141" spans="1:94" s="58" customFormat="1" ht="30" customHeight="1" thickBot="1" x14ac:dyDescent="0.25">
      <c r="A141" s="715" t="s">
        <v>1301</v>
      </c>
      <c r="B141" s="716" t="s">
        <v>282</v>
      </c>
      <c r="C141" s="1779" t="s">
        <v>582</v>
      </c>
      <c r="D141" s="967"/>
      <c r="E141" s="1367" t="s">
        <v>1815</v>
      </c>
      <c r="F141" s="1225"/>
      <c r="G141" s="1767">
        <v>0</v>
      </c>
      <c r="H141" s="1767">
        <v>0</v>
      </c>
      <c r="I141" s="1767">
        <v>0</v>
      </c>
      <c r="J141" s="1767">
        <v>0</v>
      </c>
      <c r="K141" s="1767">
        <v>0</v>
      </c>
      <c r="L141" s="1767">
        <v>0</v>
      </c>
      <c r="M141" s="1767">
        <v>0</v>
      </c>
      <c r="N141" s="1767">
        <v>0</v>
      </c>
      <c r="O141" s="1767">
        <v>0</v>
      </c>
      <c r="P141" s="1767">
        <v>0</v>
      </c>
      <c r="Q141" s="1767">
        <v>0</v>
      </c>
      <c r="R141" s="1767">
        <v>0</v>
      </c>
      <c r="S141" s="1767">
        <v>0</v>
      </c>
      <c r="T141" s="1767">
        <v>0</v>
      </c>
      <c r="U141" s="1767">
        <v>0</v>
      </c>
      <c r="V141" s="1767">
        <v>0</v>
      </c>
      <c r="W141" s="1767">
        <v>0</v>
      </c>
      <c r="X141" s="1767">
        <v>0</v>
      </c>
      <c r="Y141" s="1767">
        <v>0</v>
      </c>
      <c r="Z141" s="1767">
        <v>0</v>
      </c>
      <c r="AA141" s="1767">
        <v>0</v>
      </c>
      <c r="AB141" s="1767">
        <v>0</v>
      </c>
      <c r="AC141" s="1767">
        <v>0</v>
      </c>
      <c r="AD141" s="1767">
        <v>0</v>
      </c>
      <c r="AE141" s="1767">
        <v>0</v>
      </c>
      <c r="AF141" s="1767">
        <v>0</v>
      </c>
      <c r="AG141" s="1767">
        <v>0</v>
      </c>
      <c r="AH141" s="1767">
        <v>0</v>
      </c>
      <c r="AI141" s="1767">
        <v>0</v>
      </c>
      <c r="AJ141" s="1767">
        <v>0</v>
      </c>
      <c r="AK141" s="1767">
        <v>0</v>
      </c>
      <c r="AL141" s="1767">
        <v>0</v>
      </c>
      <c r="AM141" s="1767">
        <v>0</v>
      </c>
      <c r="AN141" s="1767">
        <v>0</v>
      </c>
      <c r="AO141" s="1767">
        <v>0</v>
      </c>
      <c r="AP141" s="1767">
        <v>0</v>
      </c>
      <c r="AQ141" s="1767">
        <v>0</v>
      </c>
      <c r="AR141" s="1767">
        <v>0</v>
      </c>
      <c r="AS141" s="1767">
        <v>0</v>
      </c>
      <c r="AT141" s="1767">
        <v>0</v>
      </c>
      <c r="AU141" s="1767">
        <v>0</v>
      </c>
      <c r="AV141" s="1767">
        <v>0</v>
      </c>
      <c r="AW141" s="1767">
        <v>0</v>
      </c>
      <c r="AX141" s="1767">
        <v>0</v>
      </c>
      <c r="AY141" s="1767">
        <v>0</v>
      </c>
      <c r="AZ141" s="1767">
        <v>0</v>
      </c>
      <c r="BA141" s="1767">
        <v>0</v>
      </c>
      <c r="BB141" s="1767">
        <v>0</v>
      </c>
      <c r="BC141" s="1767">
        <v>0</v>
      </c>
      <c r="BD141" s="1767">
        <v>0</v>
      </c>
      <c r="BE141" s="1767">
        <v>0</v>
      </c>
      <c r="BF141" s="1767">
        <v>0</v>
      </c>
      <c r="BG141" s="1767">
        <v>0</v>
      </c>
      <c r="BH141" s="1767">
        <v>0</v>
      </c>
      <c r="BI141" s="1767">
        <v>0</v>
      </c>
      <c r="BJ141" s="1767">
        <v>0</v>
      </c>
      <c r="BK141" s="1767">
        <v>0</v>
      </c>
      <c r="BL141" s="1767">
        <v>0</v>
      </c>
      <c r="BM141" s="1767">
        <v>0</v>
      </c>
      <c r="BN141" s="1767">
        <v>0</v>
      </c>
      <c r="BO141" s="1767">
        <v>0</v>
      </c>
      <c r="BP141" s="1767">
        <v>0</v>
      </c>
      <c r="BQ141" s="1767">
        <v>0</v>
      </c>
      <c r="BR141" s="1767">
        <v>0</v>
      </c>
      <c r="BS141" s="1767">
        <v>0</v>
      </c>
      <c r="BT141" s="1767">
        <v>0</v>
      </c>
      <c r="BU141" s="1767">
        <v>0</v>
      </c>
      <c r="BV141" s="1767">
        <v>0</v>
      </c>
      <c r="BW141" s="1767">
        <v>0</v>
      </c>
      <c r="BX141" s="1767">
        <v>0</v>
      </c>
      <c r="BY141" s="1767">
        <v>0</v>
      </c>
      <c r="BZ141" s="1767">
        <v>0</v>
      </c>
      <c r="CA141" s="1767">
        <v>0</v>
      </c>
      <c r="CB141" s="1767">
        <v>0</v>
      </c>
      <c r="CC141" s="1767">
        <v>0</v>
      </c>
      <c r="CD141" s="1767">
        <v>0</v>
      </c>
      <c r="CE141" s="1767">
        <v>0</v>
      </c>
      <c r="CF141" s="1767">
        <v>0</v>
      </c>
      <c r="CG141" s="1767">
        <v>0</v>
      </c>
      <c r="CH141" s="1767">
        <v>0</v>
      </c>
      <c r="CI141" s="1767">
        <v>0</v>
      </c>
      <c r="CJ141" s="1767">
        <v>0</v>
      </c>
      <c r="CK141" s="1767">
        <v>0</v>
      </c>
      <c r="CL141" s="1767">
        <v>0</v>
      </c>
      <c r="CM141" s="1767">
        <v>0</v>
      </c>
      <c r="CN141" s="1767">
        <v>0</v>
      </c>
      <c r="CO141" s="1767">
        <v>0</v>
      </c>
      <c r="CP141" s="1767">
        <v>0</v>
      </c>
    </row>
    <row r="142" spans="1:94" ht="21" customHeight="1" thickBot="1" x14ac:dyDescent="0.25">
      <c r="A142" s="1849" t="s">
        <v>1302</v>
      </c>
      <c r="B142" s="1833" t="s">
        <v>497</v>
      </c>
      <c r="C142" s="1781" t="s">
        <v>2521</v>
      </c>
      <c r="D142" s="948"/>
      <c r="E142" s="1834" t="s">
        <v>1816</v>
      </c>
      <c r="F142" s="1225"/>
      <c r="G142" s="1742"/>
      <c r="H142" s="1742"/>
      <c r="I142" s="1742"/>
      <c r="J142" s="1742"/>
      <c r="K142" s="1742"/>
      <c r="L142" s="1742"/>
      <c r="M142" s="1742"/>
      <c r="N142" s="1742"/>
      <c r="O142" s="1742"/>
      <c r="P142" s="1742"/>
      <c r="Q142" s="1742"/>
      <c r="R142" s="1742"/>
      <c r="S142" s="1742"/>
      <c r="T142" s="1742"/>
      <c r="U142" s="1742"/>
      <c r="V142" s="1742"/>
      <c r="W142" s="1742"/>
      <c r="X142" s="1742"/>
      <c r="Y142" s="1742"/>
      <c r="Z142" s="1742"/>
      <c r="AA142" s="1742"/>
      <c r="AB142" s="1742"/>
      <c r="AC142" s="1742"/>
      <c r="AD142" s="1742"/>
      <c r="AE142" s="1742"/>
      <c r="AF142" s="1742"/>
      <c r="AG142" s="1742"/>
      <c r="AH142" s="1742"/>
      <c r="AI142" s="1742"/>
      <c r="AJ142" s="1742"/>
      <c r="AK142" s="1742"/>
      <c r="AL142" s="1742"/>
      <c r="AM142" s="1742"/>
      <c r="AN142" s="1742"/>
      <c r="AO142" s="1742"/>
      <c r="AP142" s="1742"/>
      <c r="AQ142" s="1742"/>
      <c r="AR142" s="1742"/>
      <c r="AS142" s="1742"/>
      <c r="AT142" s="1742"/>
      <c r="AU142" s="1742"/>
      <c r="AV142" s="1742"/>
      <c r="AW142" s="1742"/>
      <c r="AX142" s="1742"/>
      <c r="AY142" s="1742"/>
      <c r="AZ142" s="1742"/>
      <c r="BA142" s="1742"/>
      <c r="BB142" s="1742"/>
      <c r="BC142" s="1742"/>
      <c r="BD142" s="1742"/>
      <c r="BE142" s="1742"/>
      <c r="BF142" s="1742"/>
      <c r="BG142" s="1742"/>
      <c r="BH142" s="1742"/>
      <c r="BI142" s="1742"/>
      <c r="BJ142" s="1742"/>
      <c r="BK142" s="1742"/>
      <c r="BL142" s="1742"/>
      <c r="BM142" s="1742"/>
      <c r="BN142" s="1742"/>
      <c r="BO142" s="1742"/>
      <c r="BP142" s="1742"/>
      <c r="BQ142" s="1742"/>
      <c r="BR142" s="1742"/>
      <c r="BS142" s="1742"/>
      <c r="BT142" s="1742"/>
      <c r="BU142" s="1742"/>
      <c r="BV142" s="1742"/>
      <c r="BW142" s="1742"/>
      <c r="BX142" s="1742"/>
      <c r="BY142" s="1742"/>
      <c r="BZ142" s="1742"/>
      <c r="CA142" s="1742"/>
      <c r="CB142" s="1742"/>
      <c r="CC142" s="1742"/>
      <c r="CD142" s="1742"/>
      <c r="CE142" s="1742"/>
      <c r="CF142" s="1742"/>
      <c r="CG142" s="1742"/>
      <c r="CH142" s="1742"/>
      <c r="CI142" s="1742"/>
      <c r="CJ142" s="1742"/>
      <c r="CK142" s="1742"/>
      <c r="CL142" s="1742"/>
      <c r="CM142" s="1742"/>
      <c r="CN142" s="1742"/>
      <c r="CO142" s="1742"/>
      <c r="CP142" s="1742"/>
    </row>
    <row r="143" spans="1:94" ht="15" customHeight="1" x14ac:dyDescent="0.2">
      <c r="A143" s="1847"/>
      <c r="B143" s="1834"/>
      <c r="C143" s="649" t="s">
        <v>1700</v>
      </c>
      <c r="D143" s="936"/>
      <c r="E143" s="1834"/>
      <c r="F143" s="1225"/>
      <c r="G143" s="1767">
        <v>0</v>
      </c>
      <c r="H143" s="1767">
        <v>0</v>
      </c>
      <c r="I143" s="1767">
        <v>0</v>
      </c>
      <c r="J143" s="1767">
        <v>0</v>
      </c>
      <c r="K143" s="1767">
        <v>0</v>
      </c>
      <c r="L143" s="1767">
        <v>0</v>
      </c>
      <c r="M143" s="1767">
        <v>0</v>
      </c>
      <c r="N143" s="1767">
        <v>0</v>
      </c>
      <c r="O143" s="1767">
        <v>0</v>
      </c>
      <c r="P143" s="1767">
        <v>0</v>
      </c>
      <c r="Q143" s="1767">
        <v>0</v>
      </c>
      <c r="R143" s="1767">
        <v>0</v>
      </c>
      <c r="S143" s="1767">
        <v>0</v>
      </c>
      <c r="T143" s="1767">
        <v>0</v>
      </c>
      <c r="U143" s="1767">
        <v>0</v>
      </c>
      <c r="V143" s="1767">
        <v>0</v>
      </c>
      <c r="W143" s="1767">
        <v>0</v>
      </c>
      <c r="X143" s="1767">
        <v>0</v>
      </c>
      <c r="Y143" s="1767">
        <v>0</v>
      </c>
      <c r="Z143" s="1767">
        <v>0</v>
      </c>
      <c r="AA143" s="1767">
        <v>0</v>
      </c>
      <c r="AB143" s="1767">
        <v>0</v>
      </c>
      <c r="AC143" s="1767">
        <v>0</v>
      </c>
      <c r="AD143" s="1767">
        <v>0</v>
      </c>
      <c r="AE143" s="1767">
        <v>0</v>
      </c>
      <c r="AF143" s="1767">
        <v>0</v>
      </c>
      <c r="AG143" s="1767">
        <v>0</v>
      </c>
      <c r="AH143" s="1767">
        <v>0</v>
      </c>
      <c r="AI143" s="1767">
        <v>0</v>
      </c>
      <c r="AJ143" s="1767">
        <v>0</v>
      </c>
      <c r="AK143" s="1767">
        <v>0</v>
      </c>
      <c r="AL143" s="1767">
        <v>0</v>
      </c>
      <c r="AM143" s="1767">
        <v>0</v>
      </c>
      <c r="AN143" s="1767">
        <v>0</v>
      </c>
      <c r="AO143" s="1767">
        <v>0</v>
      </c>
      <c r="AP143" s="1767">
        <v>0</v>
      </c>
      <c r="AQ143" s="1767">
        <v>0</v>
      </c>
      <c r="AR143" s="1767">
        <v>0</v>
      </c>
      <c r="AS143" s="1767">
        <v>0</v>
      </c>
      <c r="AT143" s="1767">
        <v>0</v>
      </c>
      <c r="AU143" s="1767">
        <v>0</v>
      </c>
      <c r="AV143" s="1767">
        <v>0</v>
      </c>
      <c r="AW143" s="1767">
        <v>0</v>
      </c>
      <c r="AX143" s="1767">
        <v>0</v>
      </c>
      <c r="AY143" s="1767">
        <v>0</v>
      </c>
      <c r="AZ143" s="1767">
        <v>0</v>
      </c>
      <c r="BA143" s="1767">
        <v>0</v>
      </c>
      <c r="BB143" s="1767">
        <v>0</v>
      </c>
      <c r="BC143" s="1767">
        <v>0</v>
      </c>
      <c r="BD143" s="1767">
        <v>0</v>
      </c>
      <c r="BE143" s="1767">
        <v>0</v>
      </c>
      <c r="BF143" s="1767">
        <v>0</v>
      </c>
      <c r="BG143" s="1767">
        <v>0</v>
      </c>
      <c r="BH143" s="1767">
        <v>0</v>
      </c>
      <c r="BI143" s="1767">
        <v>0</v>
      </c>
      <c r="BJ143" s="1767">
        <v>0</v>
      </c>
      <c r="BK143" s="1767">
        <v>0</v>
      </c>
      <c r="BL143" s="1767">
        <v>0</v>
      </c>
      <c r="BM143" s="1767">
        <v>0</v>
      </c>
      <c r="BN143" s="1767">
        <v>0</v>
      </c>
      <c r="BO143" s="1767">
        <v>0</v>
      </c>
      <c r="BP143" s="1767">
        <v>0</v>
      </c>
      <c r="BQ143" s="1767">
        <v>0</v>
      </c>
      <c r="BR143" s="1767">
        <v>0</v>
      </c>
      <c r="BS143" s="1767">
        <v>0</v>
      </c>
      <c r="BT143" s="1767">
        <v>0</v>
      </c>
      <c r="BU143" s="1767">
        <v>0</v>
      </c>
      <c r="BV143" s="1767">
        <v>0</v>
      </c>
      <c r="BW143" s="1767">
        <v>0</v>
      </c>
      <c r="BX143" s="1767">
        <v>0</v>
      </c>
      <c r="BY143" s="1767">
        <v>0</v>
      </c>
      <c r="BZ143" s="1767">
        <v>0</v>
      </c>
      <c r="CA143" s="1767">
        <v>0</v>
      </c>
      <c r="CB143" s="1767">
        <v>0</v>
      </c>
      <c r="CC143" s="1767">
        <v>0</v>
      </c>
      <c r="CD143" s="1767">
        <v>0</v>
      </c>
      <c r="CE143" s="1767">
        <v>0</v>
      </c>
      <c r="CF143" s="1767">
        <v>0</v>
      </c>
      <c r="CG143" s="1767">
        <v>0</v>
      </c>
      <c r="CH143" s="1767">
        <v>0</v>
      </c>
      <c r="CI143" s="1767">
        <v>0</v>
      </c>
      <c r="CJ143" s="1767">
        <v>0</v>
      </c>
      <c r="CK143" s="1767">
        <v>0</v>
      </c>
      <c r="CL143" s="1767">
        <v>0</v>
      </c>
      <c r="CM143" s="1767">
        <v>0</v>
      </c>
      <c r="CN143" s="1767">
        <v>0</v>
      </c>
      <c r="CO143" s="1767">
        <v>0</v>
      </c>
      <c r="CP143" s="1767">
        <v>0</v>
      </c>
    </row>
    <row r="144" spans="1:94" ht="15" customHeight="1" x14ac:dyDescent="0.2">
      <c r="A144" s="1847"/>
      <c r="B144" s="1834"/>
      <c r="C144" s="663" t="s">
        <v>447</v>
      </c>
      <c r="D144" s="936"/>
      <c r="E144" s="1834"/>
      <c r="F144" s="1225"/>
      <c r="G144" s="1767">
        <v>0</v>
      </c>
      <c r="H144" s="1767">
        <v>0</v>
      </c>
      <c r="I144" s="1767">
        <v>0</v>
      </c>
      <c r="J144" s="1767">
        <v>0</v>
      </c>
      <c r="K144" s="1767">
        <v>0</v>
      </c>
      <c r="L144" s="1767">
        <v>0</v>
      </c>
      <c r="M144" s="1767">
        <v>0</v>
      </c>
      <c r="N144" s="1767">
        <v>0</v>
      </c>
      <c r="O144" s="1767">
        <v>0</v>
      </c>
      <c r="P144" s="1767">
        <v>0</v>
      </c>
      <c r="Q144" s="1767">
        <v>0</v>
      </c>
      <c r="R144" s="1767">
        <v>0</v>
      </c>
      <c r="S144" s="1767">
        <v>0</v>
      </c>
      <c r="T144" s="1767">
        <v>0</v>
      </c>
      <c r="U144" s="1767">
        <v>0</v>
      </c>
      <c r="V144" s="1767">
        <v>0</v>
      </c>
      <c r="W144" s="1767">
        <v>0</v>
      </c>
      <c r="X144" s="1767">
        <v>0</v>
      </c>
      <c r="Y144" s="1767">
        <v>0</v>
      </c>
      <c r="Z144" s="1767">
        <v>0</v>
      </c>
      <c r="AA144" s="1767">
        <v>0</v>
      </c>
      <c r="AB144" s="1767">
        <v>0</v>
      </c>
      <c r="AC144" s="1767">
        <v>0</v>
      </c>
      <c r="AD144" s="1767">
        <v>0</v>
      </c>
      <c r="AE144" s="1767">
        <v>0</v>
      </c>
      <c r="AF144" s="1767">
        <v>0</v>
      </c>
      <c r="AG144" s="1767">
        <v>0</v>
      </c>
      <c r="AH144" s="1767">
        <v>0</v>
      </c>
      <c r="AI144" s="1767">
        <v>0</v>
      </c>
      <c r="AJ144" s="1767">
        <v>0</v>
      </c>
      <c r="AK144" s="1767">
        <v>0</v>
      </c>
      <c r="AL144" s="1767">
        <v>0</v>
      </c>
      <c r="AM144" s="1767">
        <v>0</v>
      </c>
      <c r="AN144" s="1767">
        <v>0</v>
      </c>
      <c r="AO144" s="1767">
        <v>0</v>
      </c>
      <c r="AP144" s="1767">
        <v>0</v>
      </c>
      <c r="AQ144" s="1767">
        <v>0</v>
      </c>
      <c r="AR144" s="1767">
        <v>0</v>
      </c>
      <c r="AS144" s="1767">
        <v>0</v>
      </c>
      <c r="AT144" s="1767">
        <v>0</v>
      </c>
      <c r="AU144" s="1767">
        <v>0</v>
      </c>
      <c r="AV144" s="1767">
        <v>0</v>
      </c>
      <c r="AW144" s="1767">
        <v>0</v>
      </c>
      <c r="AX144" s="1767">
        <v>0</v>
      </c>
      <c r="AY144" s="1767">
        <v>0</v>
      </c>
      <c r="AZ144" s="1767">
        <v>0</v>
      </c>
      <c r="BA144" s="1767">
        <v>0</v>
      </c>
      <c r="BB144" s="1767">
        <v>0</v>
      </c>
      <c r="BC144" s="1767">
        <v>0</v>
      </c>
      <c r="BD144" s="1767">
        <v>0</v>
      </c>
      <c r="BE144" s="1767">
        <v>0</v>
      </c>
      <c r="BF144" s="1767">
        <v>0</v>
      </c>
      <c r="BG144" s="1767">
        <v>0</v>
      </c>
      <c r="BH144" s="1767">
        <v>0</v>
      </c>
      <c r="BI144" s="1767">
        <v>0</v>
      </c>
      <c r="BJ144" s="1767">
        <v>0</v>
      </c>
      <c r="BK144" s="1767">
        <v>0</v>
      </c>
      <c r="BL144" s="1767">
        <v>0</v>
      </c>
      <c r="BM144" s="1767">
        <v>0</v>
      </c>
      <c r="BN144" s="1767">
        <v>0</v>
      </c>
      <c r="BO144" s="1767">
        <v>0</v>
      </c>
      <c r="BP144" s="1767">
        <v>0</v>
      </c>
      <c r="BQ144" s="1767">
        <v>0</v>
      </c>
      <c r="BR144" s="1767">
        <v>0</v>
      </c>
      <c r="BS144" s="1767">
        <v>0</v>
      </c>
      <c r="BT144" s="1767">
        <v>0</v>
      </c>
      <c r="BU144" s="1767">
        <v>0</v>
      </c>
      <c r="BV144" s="1767">
        <v>0</v>
      </c>
      <c r="BW144" s="1767">
        <v>0</v>
      </c>
      <c r="BX144" s="1767">
        <v>0</v>
      </c>
      <c r="BY144" s="1767">
        <v>0</v>
      </c>
      <c r="BZ144" s="1767">
        <v>0</v>
      </c>
      <c r="CA144" s="1767">
        <v>0</v>
      </c>
      <c r="CB144" s="1767">
        <v>0</v>
      </c>
      <c r="CC144" s="1767">
        <v>0</v>
      </c>
      <c r="CD144" s="1767">
        <v>0</v>
      </c>
      <c r="CE144" s="1767">
        <v>0</v>
      </c>
      <c r="CF144" s="1767">
        <v>0</v>
      </c>
      <c r="CG144" s="1767">
        <v>0</v>
      </c>
      <c r="CH144" s="1767">
        <v>0</v>
      </c>
      <c r="CI144" s="1767">
        <v>0</v>
      </c>
      <c r="CJ144" s="1767">
        <v>0</v>
      </c>
      <c r="CK144" s="1767">
        <v>0</v>
      </c>
      <c r="CL144" s="1767">
        <v>0</v>
      </c>
      <c r="CM144" s="1767">
        <v>0</v>
      </c>
      <c r="CN144" s="1767">
        <v>0</v>
      </c>
      <c r="CO144" s="1767">
        <v>0</v>
      </c>
      <c r="CP144" s="1767">
        <v>0</v>
      </c>
    </row>
    <row r="145" spans="1:94" ht="15" customHeight="1" x14ac:dyDescent="0.2">
      <c r="A145" s="1847"/>
      <c r="B145" s="1834"/>
      <c r="C145" s="663" t="s">
        <v>448</v>
      </c>
      <c r="D145" s="936"/>
      <c r="E145" s="1834"/>
      <c r="F145" s="1225"/>
      <c r="G145" s="1767">
        <v>0</v>
      </c>
      <c r="H145" s="1767">
        <v>0</v>
      </c>
      <c r="I145" s="1767">
        <v>0</v>
      </c>
      <c r="J145" s="1767">
        <v>0</v>
      </c>
      <c r="K145" s="1767">
        <v>0</v>
      </c>
      <c r="L145" s="1767">
        <v>0</v>
      </c>
      <c r="M145" s="1767">
        <v>0</v>
      </c>
      <c r="N145" s="1767">
        <v>0</v>
      </c>
      <c r="O145" s="1767">
        <v>0</v>
      </c>
      <c r="P145" s="1767">
        <v>0</v>
      </c>
      <c r="Q145" s="1767">
        <v>0</v>
      </c>
      <c r="R145" s="1767">
        <v>0</v>
      </c>
      <c r="S145" s="1767">
        <v>0</v>
      </c>
      <c r="T145" s="1767">
        <v>0</v>
      </c>
      <c r="U145" s="1767">
        <v>0</v>
      </c>
      <c r="V145" s="1767">
        <v>0</v>
      </c>
      <c r="W145" s="1767">
        <v>0</v>
      </c>
      <c r="X145" s="1767">
        <v>0</v>
      </c>
      <c r="Y145" s="1767">
        <v>0</v>
      </c>
      <c r="Z145" s="1767">
        <v>0</v>
      </c>
      <c r="AA145" s="1767">
        <v>0</v>
      </c>
      <c r="AB145" s="1767">
        <v>0</v>
      </c>
      <c r="AC145" s="1767">
        <v>0</v>
      </c>
      <c r="AD145" s="1767">
        <v>0</v>
      </c>
      <c r="AE145" s="1767">
        <v>0</v>
      </c>
      <c r="AF145" s="1767">
        <v>0</v>
      </c>
      <c r="AG145" s="1767">
        <v>0</v>
      </c>
      <c r="AH145" s="1767">
        <v>0</v>
      </c>
      <c r="AI145" s="1767">
        <v>0</v>
      </c>
      <c r="AJ145" s="1767">
        <v>0</v>
      </c>
      <c r="AK145" s="1767">
        <v>0</v>
      </c>
      <c r="AL145" s="1767">
        <v>0</v>
      </c>
      <c r="AM145" s="1767">
        <v>0</v>
      </c>
      <c r="AN145" s="1767">
        <v>0</v>
      </c>
      <c r="AO145" s="1767">
        <v>0</v>
      </c>
      <c r="AP145" s="1767">
        <v>0</v>
      </c>
      <c r="AQ145" s="1767">
        <v>0</v>
      </c>
      <c r="AR145" s="1767">
        <v>0</v>
      </c>
      <c r="AS145" s="1767">
        <v>0</v>
      </c>
      <c r="AT145" s="1767">
        <v>0</v>
      </c>
      <c r="AU145" s="1767">
        <v>0</v>
      </c>
      <c r="AV145" s="1767">
        <v>0</v>
      </c>
      <c r="AW145" s="1767">
        <v>0</v>
      </c>
      <c r="AX145" s="1767">
        <v>0</v>
      </c>
      <c r="AY145" s="1767">
        <v>0</v>
      </c>
      <c r="AZ145" s="1767">
        <v>0</v>
      </c>
      <c r="BA145" s="1767">
        <v>0</v>
      </c>
      <c r="BB145" s="1767">
        <v>0</v>
      </c>
      <c r="BC145" s="1767">
        <v>0</v>
      </c>
      <c r="BD145" s="1767">
        <v>0</v>
      </c>
      <c r="BE145" s="1767">
        <v>0</v>
      </c>
      <c r="BF145" s="1767">
        <v>0</v>
      </c>
      <c r="BG145" s="1767">
        <v>0</v>
      </c>
      <c r="BH145" s="1767">
        <v>0</v>
      </c>
      <c r="BI145" s="1767">
        <v>0</v>
      </c>
      <c r="BJ145" s="1767">
        <v>0</v>
      </c>
      <c r="BK145" s="1767">
        <v>0</v>
      </c>
      <c r="BL145" s="1767">
        <v>0</v>
      </c>
      <c r="BM145" s="1767">
        <v>0</v>
      </c>
      <c r="BN145" s="1767">
        <v>0</v>
      </c>
      <c r="BO145" s="1767">
        <v>0</v>
      </c>
      <c r="BP145" s="1767">
        <v>0</v>
      </c>
      <c r="BQ145" s="1767">
        <v>0</v>
      </c>
      <c r="BR145" s="1767">
        <v>0</v>
      </c>
      <c r="BS145" s="1767">
        <v>0</v>
      </c>
      <c r="BT145" s="1767">
        <v>0</v>
      </c>
      <c r="BU145" s="1767">
        <v>0</v>
      </c>
      <c r="BV145" s="1767">
        <v>0</v>
      </c>
      <c r="BW145" s="1767">
        <v>0</v>
      </c>
      <c r="BX145" s="1767">
        <v>0</v>
      </c>
      <c r="BY145" s="1767">
        <v>0</v>
      </c>
      <c r="BZ145" s="1767">
        <v>0</v>
      </c>
      <c r="CA145" s="1767">
        <v>0</v>
      </c>
      <c r="CB145" s="1767">
        <v>0</v>
      </c>
      <c r="CC145" s="1767">
        <v>0</v>
      </c>
      <c r="CD145" s="1767">
        <v>0</v>
      </c>
      <c r="CE145" s="1767">
        <v>0</v>
      </c>
      <c r="CF145" s="1767">
        <v>0</v>
      </c>
      <c r="CG145" s="1767">
        <v>0</v>
      </c>
      <c r="CH145" s="1767">
        <v>0</v>
      </c>
      <c r="CI145" s="1767">
        <v>0</v>
      </c>
      <c r="CJ145" s="1767">
        <v>0</v>
      </c>
      <c r="CK145" s="1767">
        <v>0</v>
      </c>
      <c r="CL145" s="1767">
        <v>0</v>
      </c>
      <c r="CM145" s="1767">
        <v>0</v>
      </c>
      <c r="CN145" s="1767">
        <v>0</v>
      </c>
      <c r="CO145" s="1767">
        <v>0</v>
      </c>
      <c r="CP145" s="1767">
        <v>0</v>
      </c>
    </row>
    <row r="146" spans="1:94" ht="15" customHeight="1" x14ac:dyDescent="0.2">
      <c r="A146" s="1847"/>
      <c r="B146" s="1834"/>
      <c r="C146" s="663" t="s">
        <v>449</v>
      </c>
      <c r="D146" s="936"/>
      <c r="E146" s="1834"/>
      <c r="F146" s="1225"/>
      <c r="G146" s="1767">
        <v>0</v>
      </c>
      <c r="H146" s="1767">
        <v>0</v>
      </c>
      <c r="I146" s="1767">
        <v>0</v>
      </c>
      <c r="J146" s="1767">
        <v>0</v>
      </c>
      <c r="K146" s="1767">
        <v>0</v>
      </c>
      <c r="L146" s="1767">
        <v>0</v>
      </c>
      <c r="M146" s="1767">
        <v>0</v>
      </c>
      <c r="N146" s="1767">
        <v>0</v>
      </c>
      <c r="O146" s="1767">
        <v>0</v>
      </c>
      <c r="P146" s="1767">
        <v>0</v>
      </c>
      <c r="Q146" s="1767">
        <v>0</v>
      </c>
      <c r="R146" s="1767">
        <v>0</v>
      </c>
      <c r="S146" s="1767">
        <v>0</v>
      </c>
      <c r="T146" s="1767">
        <v>0</v>
      </c>
      <c r="U146" s="1767">
        <v>0</v>
      </c>
      <c r="V146" s="1767">
        <v>0</v>
      </c>
      <c r="W146" s="1767">
        <v>0</v>
      </c>
      <c r="X146" s="1767">
        <v>0</v>
      </c>
      <c r="Y146" s="1767">
        <v>0</v>
      </c>
      <c r="Z146" s="1767">
        <v>0</v>
      </c>
      <c r="AA146" s="1767">
        <v>0</v>
      </c>
      <c r="AB146" s="1767">
        <v>0</v>
      </c>
      <c r="AC146" s="1767">
        <v>0</v>
      </c>
      <c r="AD146" s="1767">
        <v>0</v>
      </c>
      <c r="AE146" s="1767">
        <v>0</v>
      </c>
      <c r="AF146" s="1767">
        <v>0</v>
      </c>
      <c r="AG146" s="1767">
        <v>0</v>
      </c>
      <c r="AH146" s="1767">
        <v>0</v>
      </c>
      <c r="AI146" s="1767">
        <v>0</v>
      </c>
      <c r="AJ146" s="1767">
        <v>0</v>
      </c>
      <c r="AK146" s="1767">
        <v>0</v>
      </c>
      <c r="AL146" s="1767">
        <v>0</v>
      </c>
      <c r="AM146" s="1767">
        <v>0</v>
      </c>
      <c r="AN146" s="1767">
        <v>0</v>
      </c>
      <c r="AO146" s="1767">
        <v>0</v>
      </c>
      <c r="AP146" s="1767">
        <v>0</v>
      </c>
      <c r="AQ146" s="1767">
        <v>0</v>
      </c>
      <c r="AR146" s="1767">
        <v>0</v>
      </c>
      <c r="AS146" s="1767">
        <v>0</v>
      </c>
      <c r="AT146" s="1767">
        <v>0</v>
      </c>
      <c r="AU146" s="1767">
        <v>0</v>
      </c>
      <c r="AV146" s="1767">
        <v>0</v>
      </c>
      <c r="AW146" s="1767">
        <v>0</v>
      </c>
      <c r="AX146" s="1767">
        <v>0</v>
      </c>
      <c r="AY146" s="1767">
        <v>0</v>
      </c>
      <c r="AZ146" s="1767">
        <v>0</v>
      </c>
      <c r="BA146" s="1767">
        <v>0</v>
      </c>
      <c r="BB146" s="1767">
        <v>0</v>
      </c>
      <c r="BC146" s="1767">
        <v>0</v>
      </c>
      <c r="BD146" s="1767">
        <v>0</v>
      </c>
      <c r="BE146" s="1767">
        <v>0</v>
      </c>
      <c r="BF146" s="1767">
        <v>0</v>
      </c>
      <c r="BG146" s="1767">
        <v>0</v>
      </c>
      <c r="BH146" s="1767">
        <v>0</v>
      </c>
      <c r="BI146" s="1767">
        <v>0</v>
      </c>
      <c r="BJ146" s="1767">
        <v>0</v>
      </c>
      <c r="BK146" s="1767">
        <v>0</v>
      </c>
      <c r="BL146" s="1767">
        <v>0</v>
      </c>
      <c r="BM146" s="1767">
        <v>0</v>
      </c>
      <c r="BN146" s="1767">
        <v>0</v>
      </c>
      <c r="BO146" s="1767">
        <v>0</v>
      </c>
      <c r="BP146" s="1767">
        <v>0</v>
      </c>
      <c r="BQ146" s="1767">
        <v>0</v>
      </c>
      <c r="BR146" s="1767">
        <v>0</v>
      </c>
      <c r="BS146" s="1767">
        <v>0</v>
      </c>
      <c r="BT146" s="1767">
        <v>0</v>
      </c>
      <c r="BU146" s="1767">
        <v>0</v>
      </c>
      <c r="BV146" s="1767">
        <v>0</v>
      </c>
      <c r="BW146" s="1767">
        <v>0</v>
      </c>
      <c r="BX146" s="1767">
        <v>0</v>
      </c>
      <c r="BY146" s="1767">
        <v>0</v>
      </c>
      <c r="BZ146" s="1767">
        <v>0</v>
      </c>
      <c r="CA146" s="1767">
        <v>0</v>
      </c>
      <c r="CB146" s="1767">
        <v>0</v>
      </c>
      <c r="CC146" s="1767">
        <v>0</v>
      </c>
      <c r="CD146" s="1767">
        <v>0</v>
      </c>
      <c r="CE146" s="1767">
        <v>0</v>
      </c>
      <c r="CF146" s="1767">
        <v>0</v>
      </c>
      <c r="CG146" s="1767">
        <v>0</v>
      </c>
      <c r="CH146" s="1767">
        <v>0</v>
      </c>
      <c r="CI146" s="1767">
        <v>0</v>
      </c>
      <c r="CJ146" s="1767">
        <v>0</v>
      </c>
      <c r="CK146" s="1767">
        <v>0</v>
      </c>
      <c r="CL146" s="1767">
        <v>0</v>
      </c>
      <c r="CM146" s="1767">
        <v>0</v>
      </c>
      <c r="CN146" s="1767">
        <v>0</v>
      </c>
      <c r="CO146" s="1767">
        <v>0</v>
      </c>
      <c r="CP146" s="1767">
        <v>0</v>
      </c>
    </row>
    <row r="147" spans="1:94" ht="15" customHeight="1" thickBot="1" x14ac:dyDescent="0.25">
      <c r="A147" s="1847"/>
      <c r="B147" s="1834"/>
      <c r="C147" s="649" t="s">
        <v>450</v>
      </c>
      <c r="D147" s="949"/>
      <c r="E147" s="1834"/>
      <c r="F147" s="1225"/>
      <c r="G147" s="1767">
        <v>0</v>
      </c>
      <c r="H147" s="1767">
        <v>0</v>
      </c>
      <c r="I147" s="1767">
        <v>0</v>
      </c>
      <c r="J147" s="1767">
        <v>0</v>
      </c>
      <c r="K147" s="1767">
        <v>0</v>
      </c>
      <c r="L147" s="1767">
        <v>0</v>
      </c>
      <c r="M147" s="1767">
        <v>0</v>
      </c>
      <c r="N147" s="1767">
        <v>0</v>
      </c>
      <c r="O147" s="1767">
        <v>0</v>
      </c>
      <c r="P147" s="1767">
        <v>0</v>
      </c>
      <c r="Q147" s="1767">
        <v>0</v>
      </c>
      <c r="R147" s="1767">
        <v>0</v>
      </c>
      <c r="S147" s="1767">
        <v>0</v>
      </c>
      <c r="T147" s="1767">
        <v>0</v>
      </c>
      <c r="U147" s="1767">
        <v>0</v>
      </c>
      <c r="V147" s="1767">
        <v>0</v>
      </c>
      <c r="W147" s="1767">
        <v>0</v>
      </c>
      <c r="X147" s="1767">
        <v>0</v>
      </c>
      <c r="Y147" s="1767">
        <v>0</v>
      </c>
      <c r="Z147" s="1767">
        <v>0</v>
      </c>
      <c r="AA147" s="1767">
        <v>0</v>
      </c>
      <c r="AB147" s="1767">
        <v>0</v>
      </c>
      <c r="AC147" s="1767">
        <v>0</v>
      </c>
      <c r="AD147" s="1767">
        <v>0</v>
      </c>
      <c r="AE147" s="1767">
        <v>0</v>
      </c>
      <c r="AF147" s="1767">
        <v>0</v>
      </c>
      <c r="AG147" s="1767">
        <v>0</v>
      </c>
      <c r="AH147" s="1767">
        <v>0</v>
      </c>
      <c r="AI147" s="1767">
        <v>0</v>
      </c>
      <c r="AJ147" s="1767">
        <v>0</v>
      </c>
      <c r="AK147" s="1767">
        <v>0</v>
      </c>
      <c r="AL147" s="1767">
        <v>0</v>
      </c>
      <c r="AM147" s="1767">
        <v>0</v>
      </c>
      <c r="AN147" s="1767">
        <v>0</v>
      </c>
      <c r="AO147" s="1767">
        <v>0</v>
      </c>
      <c r="AP147" s="1767">
        <v>0</v>
      </c>
      <c r="AQ147" s="1767">
        <v>0</v>
      </c>
      <c r="AR147" s="1767">
        <v>0</v>
      </c>
      <c r="AS147" s="1767">
        <v>0</v>
      </c>
      <c r="AT147" s="1767">
        <v>0</v>
      </c>
      <c r="AU147" s="1767">
        <v>0</v>
      </c>
      <c r="AV147" s="1767">
        <v>0</v>
      </c>
      <c r="AW147" s="1767">
        <v>0</v>
      </c>
      <c r="AX147" s="1767">
        <v>0</v>
      </c>
      <c r="AY147" s="1767">
        <v>0</v>
      </c>
      <c r="AZ147" s="1767">
        <v>0</v>
      </c>
      <c r="BA147" s="1767">
        <v>0</v>
      </c>
      <c r="BB147" s="1767">
        <v>0</v>
      </c>
      <c r="BC147" s="1767">
        <v>0</v>
      </c>
      <c r="BD147" s="1767">
        <v>0</v>
      </c>
      <c r="BE147" s="1767">
        <v>0</v>
      </c>
      <c r="BF147" s="1767">
        <v>0</v>
      </c>
      <c r="BG147" s="1767">
        <v>0</v>
      </c>
      <c r="BH147" s="1767">
        <v>0</v>
      </c>
      <c r="BI147" s="1767">
        <v>0</v>
      </c>
      <c r="BJ147" s="1767">
        <v>0</v>
      </c>
      <c r="BK147" s="1767">
        <v>0</v>
      </c>
      <c r="BL147" s="1767">
        <v>0</v>
      </c>
      <c r="BM147" s="1767">
        <v>0</v>
      </c>
      <c r="BN147" s="1767">
        <v>0</v>
      </c>
      <c r="BO147" s="1767">
        <v>0</v>
      </c>
      <c r="BP147" s="1767">
        <v>0</v>
      </c>
      <c r="BQ147" s="1767">
        <v>0</v>
      </c>
      <c r="BR147" s="1767">
        <v>0</v>
      </c>
      <c r="BS147" s="1767">
        <v>0</v>
      </c>
      <c r="BT147" s="1767">
        <v>0</v>
      </c>
      <c r="BU147" s="1767">
        <v>0</v>
      </c>
      <c r="BV147" s="1767">
        <v>0</v>
      </c>
      <c r="BW147" s="1767">
        <v>0</v>
      </c>
      <c r="BX147" s="1767">
        <v>0</v>
      </c>
      <c r="BY147" s="1767">
        <v>0</v>
      </c>
      <c r="BZ147" s="1767">
        <v>0</v>
      </c>
      <c r="CA147" s="1767">
        <v>0</v>
      </c>
      <c r="CB147" s="1767">
        <v>0</v>
      </c>
      <c r="CC147" s="1767">
        <v>0</v>
      </c>
      <c r="CD147" s="1767">
        <v>0</v>
      </c>
      <c r="CE147" s="1767">
        <v>0</v>
      </c>
      <c r="CF147" s="1767">
        <v>0</v>
      </c>
      <c r="CG147" s="1767">
        <v>0</v>
      </c>
      <c r="CH147" s="1767">
        <v>0</v>
      </c>
      <c r="CI147" s="1767">
        <v>0</v>
      </c>
      <c r="CJ147" s="1767">
        <v>0</v>
      </c>
      <c r="CK147" s="1767">
        <v>0</v>
      </c>
      <c r="CL147" s="1767">
        <v>0</v>
      </c>
      <c r="CM147" s="1767">
        <v>0</v>
      </c>
      <c r="CN147" s="1767">
        <v>0</v>
      </c>
      <c r="CO147" s="1767">
        <v>0</v>
      </c>
      <c r="CP147" s="1767">
        <v>0</v>
      </c>
    </row>
    <row r="148" spans="1:94" ht="21" customHeight="1" thickBot="1" x14ac:dyDescent="0.25">
      <c r="A148" s="1849" t="s">
        <v>1303</v>
      </c>
      <c r="B148" s="1833" t="s">
        <v>454</v>
      </c>
      <c r="C148" s="1779" t="s">
        <v>2522</v>
      </c>
      <c r="D148" s="947"/>
      <c r="E148" s="1833" t="s">
        <v>1817</v>
      </c>
      <c r="F148" s="1225"/>
      <c r="G148" s="1742"/>
      <c r="H148" s="1742"/>
      <c r="I148" s="1742"/>
      <c r="J148" s="1742"/>
      <c r="K148" s="1742"/>
      <c r="L148" s="1742"/>
      <c r="M148" s="1742"/>
      <c r="N148" s="1742"/>
      <c r="O148" s="1742"/>
      <c r="P148" s="1742"/>
      <c r="Q148" s="1742"/>
      <c r="R148" s="1742"/>
      <c r="S148" s="1742"/>
      <c r="T148" s="1742"/>
      <c r="U148" s="1742"/>
      <c r="V148" s="1742"/>
      <c r="W148" s="1742"/>
      <c r="X148" s="1742"/>
      <c r="Y148" s="1742"/>
      <c r="Z148" s="1742"/>
      <c r="AA148" s="1742"/>
      <c r="AB148" s="1742"/>
      <c r="AC148" s="1742"/>
      <c r="AD148" s="1742"/>
      <c r="AE148" s="1742"/>
      <c r="AF148" s="1742"/>
      <c r="AG148" s="1742"/>
      <c r="AH148" s="1742"/>
      <c r="AI148" s="1742"/>
      <c r="AJ148" s="1742"/>
      <c r="AK148" s="1742"/>
      <c r="AL148" s="1742"/>
      <c r="AM148" s="1742"/>
      <c r="AN148" s="1742"/>
      <c r="AO148" s="1742"/>
      <c r="AP148" s="1742"/>
      <c r="AQ148" s="1742"/>
      <c r="AR148" s="1742"/>
      <c r="AS148" s="1742"/>
      <c r="AT148" s="1742"/>
      <c r="AU148" s="1742"/>
      <c r="AV148" s="1742"/>
      <c r="AW148" s="1742"/>
      <c r="AX148" s="1742"/>
      <c r="AY148" s="1742"/>
      <c r="AZ148" s="1742"/>
      <c r="BA148" s="1742"/>
      <c r="BB148" s="1742"/>
      <c r="BC148" s="1742"/>
      <c r="BD148" s="1742"/>
      <c r="BE148" s="1742"/>
      <c r="BF148" s="1742"/>
      <c r="BG148" s="1742"/>
      <c r="BH148" s="1742"/>
      <c r="BI148" s="1742"/>
      <c r="BJ148" s="1742"/>
      <c r="BK148" s="1742"/>
      <c r="BL148" s="1742"/>
      <c r="BM148" s="1742"/>
      <c r="BN148" s="1742"/>
      <c r="BO148" s="1742"/>
      <c r="BP148" s="1742"/>
      <c r="BQ148" s="1742"/>
      <c r="BR148" s="1742"/>
      <c r="BS148" s="1742"/>
      <c r="BT148" s="1742"/>
      <c r="BU148" s="1742"/>
      <c r="BV148" s="1742"/>
      <c r="BW148" s="1742"/>
      <c r="BX148" s="1742"/>
      <c r="BY148" s="1742"/>
      <c r="BZ148" s="1742"/>
      <c r="CA148" s="1742"/>
      <c r="CB148" s="1742"/>
      <c r="CC148" s="1742"/>
      <c r="CD148" s="1742"/>
      <c r="CE148" s="1742"/>
      <c r="CF148" s="1742"/>
      <c r="CG148" s="1742"/>
      <c r="CH148" s="1742"/>
      <c r="CI148" s="1742"/>
      <c r="CJ148" s="1742"/>
      <c r="CK148" s="1742"/>
      <c r="CL148" s="1742"/>
      <c r="CM148" s="1742"/>
      <c r="CN148" s="1742"/>
      <c r="CO148" s="1742"/>
      <c r="CP148" s="1742"/>
    </row>
    <row r="149" spans="1:94" ht="15" customHeight="1" x14ac:dyDescent="0.2">
      <c r="A149" s="1847"/>
      <c r="B149" s="1834"/>
      <c r="C149" s="649" t="s">
        <v>1695</v>
      </c>
      <c r="D149" s="936"/>
      <c r="E149" s="1834"/>
      <c r="F149" s="1225"/>
      <c r="G149" s="1767">
        <v>0</v>
      </c>
      <c r="H149" s="1767">
        <v>0</v>
      </c>
      <c r="I149" s="1767">
        <v>0</v>
      </c>
      <c r="J149" s="1767">
        <v>0</v>
      </c>
      <c r="K149" s="1767">
        <v>0</v>
      </c>
      <c r="L149" s="1767">
        <v>0</v>
      </c>
      <c r="M149" s="1767">
        <v>0</v>
      </c>
      <c r="N149" s="1767">
        <v>0</v>
      </c>
      <c r="O149" s="1767">
        <v>0</v>
      </c>
      <c r="P149" s="1767">
        <v>0</v>
      </c>
      <c r="Q149" s="1767">
        <v>0</v>
      </c>
      <c r="R149" s="1767">
        <v>0</v>
      </c>
      <c r="S149" s="1767">
        <v>0</v>
      </c>
      <c r="T149" s="1767">
        <v>0</v>
      </c>
      <c r="U149" s="1767">
        <v>0</v>
      </c>
      <c r="V149" s="1767">
        <v>0</v>
      </c>
      <c r="W149" s="1767">
        <v>0</v>
      </c>
      <c r="X149" s="1767">
        <v>0</v>
      </c>
      <c r="Y149" s="1767">
        <v>0</v>
      </c>
      <c r="Z149" s="1767">
        <v>0</v>
      </c>
      <c r="AA149" s="1767">
        <v>0</v>
      </c>
      <c r="AB149" s="1767">
        <v>0</v>
      </c>
      <c r="AC149" s="1767">
        <v>0</v>
      </c>
      <c r="AD149" s="1767">
        <v>0</v>
      </c>
      <c r="AE149" s="1767">
        <v>0</v>
      </c>
      <c r="AF149" s="1767">
        <v>0</v>
      </c>
      <c r="AG149" s="1767">
        <v>0</v>
      </c>
      <c r="AH149" s="1767">
        <v>0</v>
      </c>
      <c r="AI149" s="1767">
        <v>0</v>
      </c>
      <c r="AJ149" s="1767">
        <v>0</v>
      </c>
      <c r="AK149" s="1767">
        <v>0</v>
      </c>
      <c r="AL149" s="1767">
        <v>0</v>
      </c>
      <c r="AM149" s="1767">
        <v>0</v>
      </c>
      <c r="AN149" s="1767">
        <v>0</v>
      </c>
      <c r="AO149" s="1767">
        <v>0</v>
      </c>
      <c r="AP149" s="1767">
        <v>0</v>
      </c>
      <c r="AQ149" s="1767">
        <v>0</v>
      </c>
      <c r="AR149" s="1767">
        <v>0</v>
      </c>
      <c r="AS149" s="1767">
        <v>0</v>
      </c>
      <c r="AT149" s="1767">
        <v>0</v>
      </c>
      <c r="AU149" s="1767">
        <v>0</v>
      </c>
      <c r="AV149" s="1767">
        <v>0</v>
      </c>
      <c r="AW149" s="1767">
        <v>0</v>
      </c>
      <c r="AX149" s="1767">
        <v>0</v>
      </c>
      <c r="AY149" s="1767">
        <v>0</v>
      </c>
      <c r="AZ149" s="1767">
        <v>0</v>
      </c>
      <c r="BA149" s="1767">
        <v>0</v>
      </c>
      <c r="BB149" s="1767">
        <v>0</v>
      </c>
      <c r="BC149" s="1767">
        <v>0</v>
      </c>
      <c r="BD149" s="1767">
        <v>0</v>
      </c>
      <c r="BE149" s="1767">
        <v>0</v>
      </c>
      <c r="BF149" s="1767">
        <v>0</v>
      </c>
      <c r="BG149" s="1767">
        <v>0</v>
      </c>
      <c r="BH149" s="1767">
        <v>0</v>
      </c>
      <c r="BI149" s="1767">
        <v>0</v>
      </c>
      <c r="BJ149" s="1767">
        <v>0</v>
      </c>
      <c r="BK149" s="1767">
        <v>0</v>
      </c>
      <c r="BL149" s="1767">
        <v>0</v>
      </c>
      <c r="BM149" s="1767">
        <v>0</v>
      </c>
      <c r="BN149" s="1767">
        <v>0</v>
      </c>
      <c r="BO149" s="1767">
        <v>0</v>
      </c>
      <c r="BP149" s="1767">
        <v>0</v>
      </c>
      <c r="BQ149" s="1767">
        <v>0</v>
      </c>
      <c r="BR149" s="1767">
        <v>0</v>
      </c>
      <c r="BS149" s="1767">
        <v>0</v>
      </c>
      <c r="BT149" s="1767">
        <v>0</v>
      </c>
      <c r="BU149" s="1767">
        <v>0</v>
      </c>
      <c r="BV149" s="1767">
        <v>0</v>
      </c>
      <c r="BW149" s="1767">
        <v>0</v>
      </c>
      <c r="BX149" s="1767">
        <v>0</v>
      </c>
      <c r="BY149" s="1767">
        <v>0</v>
      </c>
      <c r="BZ149" s="1767">
        <v>0</v>
      </c>
      <c r="CA149" s="1767">
        <v>0</v>
      </c>
      <c r="CB149" s="1767">
        <v>0</v>
      </c>
      <c r="CC149" s="1767">
        <v>0</v>
      </c>
      <c r="CD149" s="1767">
        <v>0</v>
      </c>
      <c r="CE149" s="1767">
        <v>0</v>
      </c>
      <c r="CF149" s="1767">
        <v>0</v>
      </c>
      <c r="CG149" s="1767">
        <v>0</v>
      </c>
      <c r="CH149" s="1767">
        <v>0</v>
      </c>
      <c r="CI149" s="1767">
        <v>0</v>
      </c>
      <c r="CJ149" s="1767">
        <v>0</v>
      </c>
      <c r="CK149" s="1767">
        <v>0</v>
      </c>
      <c r="CL149" s="1767">
        <v>0</v>
      </c>
      <c r="CM149" s="1767">
        <v>0</v>
      </c>
      <c r="CN149" s="1767">
        <v>0</v>
      </c>
      <c r="CO149" s="1767">
        <v>0</v>
      </c>
      <c r="CP149" s="1767">
        <v>0</v>
      </c>
    </row>
    <row r="150" spans="1:94" ht="15" customHeight="1" x14ac:dyDescent="0.2">
      <c r="A150" s="1847"/>
      <c r="B150" s="1834"/>
      <c r="C150" s="663" t="s">
        <v>567</v>
      </c>
      <c r="D150" s="936"/>
      <c r="E150" s="1834"/>
      <c r="F150" s="1225"/>
      <c r="G150" s="1767">
        <v>0</v>
      </c>
      <c r="H150" s="1767">
        <v>0</v>
      </c>
      <c r="I150" s="1767">
        <v>0</v>
      </c>
      <c r="J150" s="1767">
        <v>0</v>
      </c>
      <c r="K150" s="1767">
        <v>0</v>
      </c>
      <c r="L150" s="1767">
        <v>0</v>
      </c>
      <c r="M150" s="1767">
        <v>0</v>
      </c>
      <c r="N150" s="1767">
        <v>0</v>
      </c>
      <c r="O150" s="1767">
        <v>0</v>
      </c>
      <c r="P150" s="1767">
        <v>0</v>
      </c>
      <c r="Q150" s="1767">
        <v>0</v>
      </c>
      <c r="R150" s="1767">
        <v>0</v>
      </c>
      <c r="S150" s="1767">
        <v>0</v>
      </c>
      <c r="T150" s="1767">
        <v>0</v>
      </c>
      <c r="U150" s="1767">
        <v>0</v>
      </c>
      <c r="V150" s="1767">
        <v>0</v>
      </c>
      <c r="W150" s="1767">
        <v>0</v>
      </c>
      <c r="X150" s="1767">
        <v>0</v>
      </c>
      <c r="Y150" s="1767">
        <v>0</v>
      </c>
      <c r="Z150" s="1767">
        <v>0</v>
      </c>
      <c r="AA150" s="1767">
        <v>0</v>
      </c>
      <c r="AB150" s="1767">
        <v>0</v>
      </c>
      <c r="AC150" s="1767">
        <v>0</v>
      </c>
      <c r="AD150" s="1767">
        <v>0</v>
      </c>
      <c r="AE150" s="1767">
        <v>0</v>
      </c>
      <c r="AF150" s="1767">
        <v>0</v>
      </c>
      <c r="AG150" s="1767">
        <v>0</v>
      </c>
      <c r="AH150" s="1767">
        <v>0</v>
      </c>
      <c r="AI150" s="1767">
        <v>0</v>
      </c>
      <c r="AJ150" s="1767">
        <v>0</v>
      </c>
      <c r="AK150" s="1767">
        <v>0</v>
      </c>
      <c r="AL150" s="1767">
        <v>0</v>
      </c>
      <c r="AM150" s="1767">
        <v>0</v>
      </c>
      <c r="AN150" s="1767">
        <v>0</v>
      </c>
      <c r="AO150" s="1767">
        <v>0</v>
      </c>
      <c r="AP150" s="1767">
        <v>0</v>
      </c>
      <c r="AQ150" s="1767">
        <v>0</v>
      </c>
      <c r="AR150" s="1767">
        <v>0</v>
      </c>
      <c r="AS150" s="1767">
        <v>0</v>
      </c>
      <c r="AT150" s="1767">
        <v>0</v>
      </c>
      <c r="AU150" s="1767">
        <v>0</v>
      </c>
      <c r="AV150" s="1767">
        <v>0</v>
      </c>
      <c r="AW150" s="1767">
        <v>0</v>
      </c>
      <c r="AX150" s="1767">
        <v>0</v>
      </c>
      <c r="AY150" s="1767">
        <v>0</v>
      </c>
      <c r="AZ150" s="1767">
        <v>0</v>
      </c>
      <c r="BA150" s="1767">
        <v>0</v>
      </c>
      <c r="BB150" s="1767">
        <v>0</v>
      </c>
      <c r="BC150" s="1767">
        <v>0</v>
      </c>
      <c r="BD150" s="1767">
        <v>0</v>
      </c>
      <c r="BE150" s="1767">
        <v>0</v>
      </c>
      <c r="BF150" s="1767">
        <v>0</v>
      </c>
      <c r="BG150" s="1767">
        <v>0</v>
      </c>
      <c r="BH150" s="1767">
        <v>0</v>
      </c>
      <c r="BI150" s="1767">
        <v>0</v>
      </c>
      <c r="BJ150" s="1767">
        <v>0</v>
      </c>
      <c r="BK150" s="1767">
        <v>0</v>
      </c>
      <c r="BL150" s="1767">
        <v>0</v>
      </c>
      <c r="BM150" s="1767">
        <v>0</v>
      </c>
      <c r="BN150" s="1767">
        <v>0</v>
      </c>
      <c r="BO150" s="1767">
        <v>0</v>
      </c>
      <c r="BP150" s="1767">
        <v>0</v>
      </c>
      <c r="BQ150" s="1767">
        <v>0</v>
      </c>
      <c r="BR150" s="1767">
        <v>0</v>
      </c>
      <c r="BS150" s="1767">
        <v>0</v>
      </c>
      <c r="BT150" s="1767">
        <v>0</v>
      </c>
      <c r="BU150" s="1767">
        <v>0</v>
      </c>
      <c r="BV150" s="1767">
        <v>0</v>
      </c>
      <c r="BW150" s="1767">
        <v>0</v>
      </c>
      <c r="BX150" s="1767">
        <v>0</v>
      </c>
      <c r="BY150" s="1767">
        <v>0</v>
      </c>
      <c r="BZ150" s="1767">
        <v>0</v>
      </c>
      <c r="CA150" s="1767">
        <v>0</v>
      </c>
      <c r="CB150" s="1767">
        <v>0</v>
      </c>
      <c r="CC150" s="1767">
        <v>0</v>
      </c>
      <c r="CD150" s="1767">
        <v>0</v>
      </c>
      <c r="CE150" s="1767">
        <v>0</v>
      </c>
      <c r="CF150" s="1767">
        <v>0</v>
      </c>
      <c r="CG150" s="1767">
        <v>0</v>
      </c>
      <c r="CH150" s="1767">
        <v>0</v>
      </c>
      <c r="CI150" s="1767">
        <v>0</v>
      </c>
      <c r="CJ150" s="1767">
        <v>0</v>
      </c>
      <c r="CK150" s="1767">
        <v>0</v>
      </c>
      <c r="CL150" s="1767">
        <v>0</v>
      </c>
      <c r="CM150" s="1767">
        <v>0</v>
      </c>
      <c r="CN150" s="1767">
        <v>0</v>
      </c>
      <c r="CO150" s="1767">
        <v>0</v>
      </c>
      <c r="CP150" s="1767">
        <v>0</v>
      </c>
    </row>
    <row r="151" spans="1:94" ht="15" customHeight="1" x14ac:dyDescent="0.2">
      <c r="A151" s="1847"/>
      <c r="B151" s="1834"/>
      <c r="C151" s="663" t="s">
        <v>568</v>
      </c>
      <c r="D151" s="936"/>
      <c r="E151" s="1834"/>
      <c r="F151" s="1225"/>
      <c r="G151" s="1767">
        <v>0</v>
      </c>
      <c r="H151" s="1767">
        <v>0</v>
      </c>
      <c r="I151" s="1767">
        <v>0</v>
      </c>
      <c r="J151" s="1767">
        <v>0</v>
      </c>
      <c r="K151" s="1767">
        <v>0</v>
      </c>
      <c r="L151" s="1767">
        <v>0</v>
      </c>
      <c r="M151" s="1767">
        <v>0</v>
      </c>
      <c r="N151" s="1767">
        <v>0</v>
      </c>
      <c r="O151" s="1767">
        <v>0</v>
      </c>
      <c r="P151" s="1767">
        <v>0</v>
      </c>
      <c r="Q151" s="1767">
        <v>0</v>
      </c>
      <c r="R151" s="1767">
        <v>0</v>
      </c>
      <c r="S151" s="1767">
        <v>0</v>
      </c>
      <c r="T151" s="1767">
        <v>0</v>
      </c>
      <c r="U151" s="1767">
        <v>0</v>
      </c>
      <c r="V151" s="1767">
        <v>0</v>
      </c>
      <c r="W151" s="1767">
        <v>0</v>
      </c>
      <c r="X151" s="1767">
        <v>0</v>
      </c>
      <c r="Y151" s="1767">
        <v>0</v>
      </c>
      <c r="Z151" s="1767">
        <v>0</v>
      </c>
      <c r="AA151" s="1767">
        <v>0</v>
      </c>
      <c r="AB151" s="1767">
        <v>0</v>
      </c>
      <c r="AC151" s="1767">
        <v>0</v>
      </c>
      <c r="AD151" s="1767">
        <v>0</v>
      </c>
      <c r="AE151" s="1767">
        <v>0</v>
      </c>
      <c r="AF151" s="1767">
        <v>0</v>
      </c>
      <c r="AG151" s="1767">
        <v>0</v>
      </c>
      <c r="AH151" s="1767">
        <v>0</v>
      </c>
      <c r="AI151" s="1767">
        <v>0</v>
      </c>
      <c r="AJ151" s="1767">
        <v>0</v>
      </c>
      <c r="AK151" s="1767">
        <v>0</v>
      </c>
      <c r="AL151" s="1767">
        <v>0</v>
      </c>
      <c r="AM151" s="1767">
        <v>0</v>
      </c>
      <c r="AN151" s="1767">
        <v>0</v>
      </c>
      <c r="AO151" s="1767">
        <v>0</v>
      </c>
      <c r="AP151" s="1767">
        <v>0</v>
      </c>
      <c r="AQ151" s="1767">
        <v>0</v>
      </c>
      <c r="AR151" s="1767">
        <v>0</v>
      </c>
      <c r="AS151" s="1767">
        <v>0</v>
      </c>
      <c r="AT151" s="1767">
        <v>0</v>
      </c>
      <c r="AU151" s="1767">
        <v>0</v>
      </c>
      <c r="AV151" s="1767">
        <v>0</v>
      </c>
      <c r="AW151" s="1767">
        <v>0</v>
      </c>
      <c r="AX151" s="1767">
        <v>0</v>
      </c>
      <c r="AY151" s="1767">
        <v>0</v>
      </c>
      <c r="AZ151" s="1767">
        <v>0</v>
      </c>
      <c r="BA151" s="1767">
        <v>0</v>
      </c>
      <c r="BB151" s="1767">
        <v>0</v>
      </c>
      <c r="BC151" s="1767">
        <v>0</v>
      </c>
      <c r="BD151" s="1767">
        <v>0</v>
      </c>
      <c r="BE151" s="1767">
        <v>0</v>
      </c>
      <c r="BF151" s="1767">
        <v>0</v>
      </c>
      <c r="BG151" s="1767">
        <v>0</v>
      </c>
      <c r="BH151" s="1767">
        <v>0</v>
      </c>
      <c r="BI151" s="1767">
        <v>0</v>
      </c>
      <c r="BJ151" s="1767">
        <v>0</v>
      </c>
      <c r="BK151" s="1767">
        <v>0</v>
      </c>
      <c r="BL151" s="1767">
        <v>0</v>
      </c>
      <c r="BM151" s="1767">
        <v>0</v>
      </c>
      <c r="BN151" s="1767">
        <v>0</v>
      </c>
      <c r="BO151" s="1767">
        <v>0</v>
      </c>
      <c r="BP151" s="1767">
        <v>0</v>
      </c>
      <c r="BQ151" s="1767">
        <v>0</v>
      </c>
      <c r="BR151" s="1767">
        <v>0</v>
      </c>
      <c r="BS151" s="1767">
        <v>0</v>
      </c>
      <c r="BT151" s="1767">
        <v>0</v>
      </c>
      <c r="BU151" s="1767">
        <v>0</v>
      </c>
      <c r="BV151" s="1767">
        <v>0</v>
      </c>
      <c r="BW151" s="1767">
        <v>0</v>
      </c>
      <c r="BX151" s="1767">
        <v>0</v>
      </c>
      <c r="BY151" s="1767">
        <v>0</v>
      </c>
      <c r="BZ151" s="1767">
        <v>0</v>
      </c>
      <c r="CA151" s="1767">
        <v>0</v>
      </c>
      <c r="CB151" s="1767">
        <v>0</v>
      </c>
      <c r="CC151" s="1767">
        <v>0</v>
      </c>
      <c r="CD151" s="1767">
        <v>0</v>
      </c>
      <c r="CE151" s="1767">
        <v>0</v>
      </c>
      <c r="CF151" s="1767">
        <v>0</v>
      </c>
      <c r="CG151" s="1767">
        <v>0</v>
      </c>
      <c r="CH151" s="1767">
        <v>0</v>
      </c>
      <c r="CI151" s="1767">
        <v>0</v>
      </c>
      <c r="CJ151" s="1767">
        <v>0</v>
      </c>
      <c r="CK151" s="1767">
        <v>0</v>
      </c>
      <c r="CL151" s="1767">
        <v>0</v>
      </c>
      <c r="CM151" s="1767">
        <v>0</v>
      </c>
      <c r="CN151" s="1767">
        <v>0</v>
      </c>
      <c r="CO151" s="1767">
        <v>0</v>
      </c>
      <c r="CP151" s="1767">
        <v>0</v>
      </c>
    </row>
    <row r="152" spans="1:94" ht="15" customHeight="1" x14ac:dyDescent="0.2">
      <c r="A152" s="1847"/>
      <c r="B152" s="1834"/>
      <c r="C152" s="663" t="s">
        <v>569</v>
      </c>
      <c r="D152" s="936"/>
      <c r="E152" s="1834"/>
      <c r="F152" s="1225"/>
      <c r="G152" s="1767">
        <v>0</v>
      </c>
      <c r="H152" s="1767">
        <v>0</v>
      </c>
      <c r="I152" s="1767">
        <v>0</v>
      </c>
      <c r="J152" s="1767">
        <v>0</v>
      </c>
      <c r="K152" s="1767">
        <v>0</v>
      </c>
      <c r="L152" s="1767">
        <v>0</v>
      </c>
      <c r="M152" s="1767">
        <v>0</v>
      </c>
      <c r="N152" s="1767">
        <v>0</v>
      </c>
      <c r="O152" s="1767">
        <v>0</v>
      </c>
      <c r="P152" s="1767">
        <v>0</v>
      </c>
      <c r="Q152" s="1767">
        <v>0</v>
      </c>
      <c r="R152" s="1767">
        <v>0</v>
      </c>
      <c r="S152" s="1767">
        <v>0</v>
      </c>
      <c r="T152" s="1767">
        <v>0</v>
      </c>
      <c r="U152" s="1767">
        <v>0</v>
      </c>
      <c r="V152" s="1767">
        <v>0</v>
      </c>
      <c r="W152" s="1767">
        <v>0</v>
      </c>
      <c r="X152" s="1767">
        <v>0</v>
      </c>
      <c r="Y152" s="1767">
        <v>0</v>
      </c>
      <c r="Z152" s="1767">
        <v>0</v>
      </c>
      <c r="AA152" s="1767">
        <v>0</v>
      </c>
      <c r="AB152" s="1767">
        <v>0</v>
      </c>
      <c r="AC152" s="1767">
        <v>0</v>
      </c>
      <c r="AD152" s="1767">
        <v>0</v>
      </c>
      <c r="AE152" s="1767">
        <v>0</v>
      </c>
      <c r="AF152" s="1767">
        <v>0</v>
      </c>
      <c r="AG152" s="1767">
        <v>0</v>
      </c>
      <c r="AH152" s="1767">
        <v>0</v>
      </c>
      <c r="AI152" s="1767">
        <v>0</v>
      </c>
      <c r="AJ152" s="1767">
        <v>0</v>
      </c>
      <c r="AK152" s="1767">
        <v>0</v>
      </c>
      <c r="AL152" s="1767">
        <v>0</v>
      </c>
      <c r="AM152" s="1767">
        <v>0</v>
      </c>
      <c r="AN152" s="1767">
        <v>0</v>
      </c>
      <c r="AO152" s="1767">
        <v>0</v>
      </c>
      <c r="AP152" s="1767">
        <v>0</v>
      </c>
      <c r="AQ152" s="1767">
        <v>0</v>
      </c>
      <c r="AR152" s="1767">
        <v>0</v>
      </c>
      <c r="AS152" s="1767">
        <v>0</v>
      </c>
      <c r="AT152" s="1767">
        <v>0</v>
      </c>
      <c r="AU152" s="1767">
        <v>0</v>
      </c>
      <c r="AV152" s="1767">
        <v>0</v>
      </c>
      <c r="AW152" s="1767">
        <v>0</v>
      </c>
      <c r="AX152" s="1767">
        <v>0</v>
      </c>
      <c r="AY152" s="1767">
        <v>0</v>
      </c>
      <c r="AZ152" s="1767">
        <v>0</v>
      </c>
      <c r="BA152" s="1767">
        <v>0</v>
      </c>
      <c r="BB152" s="1767">
        <v>0</v>
      </c>
      <c r="BC152" s="1767">
        <v>0</v>
      </c>
      <c r="BD152" s="1767">
        <v>0</v>
      </c>
      <c r="BE152" s="1767">
        <v>0</v>
      </c>
      <c r="BF152" s="1767">
        <v>0</v>
      </c>
      <c r="BG152" s="1767">
        <v>0</v>
      </c>
      <c r="BH152" s="1767">
        <v>0</v>
      </c>
      <c r="BI152" s="1767">
        <v>0</v>
      </c>
      <c r="BJ152" s="1767">
        <v>0</v>
      </c>
      <c r="BK152" s="1767">
        <v>0</v>
      </c>
      <c r="BL152" s="1767">
        <v>0</v>
      </c>
      <c r="BM152" s="1767">
        <v>0</v>
      </c>
      <c r="BN152" s="1767">
        <v>0</v>
      </c>
      <c r="BO152" s="1767">
        <v>0</v>
      </c>
      <c r="BP152" s="1767">
        <v>0</v>
      </c>
      <c r="BQ152" s="1767">
        <v>0</v>
      </c>
      <c r="BR152" s="1767">
        <v>0</v>
      </c>
      <c r="BS152" s="1767">
        <v>0</v>
      </c>
      <c r="BT152" s="1767">
        <v>0</v>
      </c>
      <c r="BU152" s="1767">
        <v>0</v>
      </c>
      <c r="BV152" s="1767">
        <v>0</v>
      </c>
      <c r="BW152" s="1767">
        <v>0</v>
      </c>
      <c r="BX152" s="1767">
        <v>0</v>
      </c>
      <c r="BY152" s="1767">
        <v>0</v>
      </c>
      <c r="BZ152" s="1767">
        <v>0</v>
      </c>
      <c r="CA152" s="1767">
        <v>0</v>
      </c>
      <c r="CB152" s="1767">
        <v>0</v>
      </c>
      <c r="CC152" s="1767">
        <v>0</v>
      </c>
      <c r="CD152" s="1767">
        <v>0</v>
      </c>
      <c r="CE152" s="1767">
        <v>0</v>
      </c>
      <c r="CF152" s="1767">
        <v>0</v>
      </c>
      <c r="CG152" s="1767">
        <v>0</v>
      </c>
      <c r="CH152" s="1767">
        <v>0</v>
      </c>
      <c r="CI152" s="1767">
        <v>0</v>
      </c>
      <c r="CJ152" s="1767">
        <v>0</v>
      </c>
      <c r="CK152" s="1767">
        <v>0</v>
      </c>
      <c r="CL152" s="1767">
        <v>0</v>
      </c>
      <c r="CM152" s="1767">
        <v>0</v>
      </c>
      <c r="CN152" s="1767">
        <v>0</v>
      </c>
      <c r="CO152" s="1767">
        <v>0</v>
      </c>
      <c r="CP152" s="1767">
        <v>0</v>
      </c>
    </row>
    <row r="153" spans="1:94" ht="15" customHeight="1" thickBot="1" x14ac:dyDescent="0.25">
      <c r="A153" s="1848"/>
      <c r="B153" s="1835"/>
      <c r="C153" s="650" t="s">
        <v>570</v>
      </c>
      <c r="D153" s="950"/>
      <c r="E153" s="1835"/>
      <c r="F153" s="1225"/>
      <c r="G153" s="1767">
        <v>0</v>
      </c>
      <c r="H153" s="1767">
        <v>0</v>
      </c>
      <c r="I153" s="1767">
        <v>0</v>
      </c>
      <c r="J153" s="1767">
        <v>0</v>
      </c>
      <c r="K153" s="1767">
        <v>0</v>
      </c>
      <c r="L153" s="1767">
        <v>0</v>
      </c>
      <c r="M153" s="1767">
        <v>0</v>
      </c>
      <c r="N153" s="1767">
        <v>0</v>
      </c>
      <c r="O153" s="1767">
        <v>0</v>
      </c>
      <c r="P153" s="1767">
        <v>0</v>
      </c>
      <c r="Q153" s="1767">
        <v>0</v>
      </c>
      <c r="R153" s="1767">
        <v>0</v>
      </c>
      <c r="S153" s="1767">
        <v>0</v>
      </c>
      <c r="T153" s="1767">
        <v>0</v>
      </c>
      <c r="U153" s="1767">
        <v>0</v>
      </c>
      <c r="V153" s="1767">
        <v>0</v>
      </c>
      <c r="W153" s="1767">
        <v>0</v>
      </c>
      <c r="X153" s="1767">
        <v>0</v>
      </c>
      <c r="Y153" s="1767">
        <v>0</v>
      </c>
      <c r="Z153" s="1767">
        <v>0</v>
      </c>
      <c r="AA153" s="1767">
        <v>0</v>
      </c>
      <c r="AB153" s="1767">
        <v>0</v>
      </c>
      <c r="AC153" s="1767">
        <v>0</v>
      </c>
      <c r="AD153" s="1767">
        <v>0</v>
      </c>
      <c r="AE153" s="1767">
        <v>0</v>
      </c>
      <c r="AF153" s="1767">
        <v>0</v>
      </c>
      <c r="AG153" s="1767">
        <v>0</v>
      </c>
      <c r="AH153" s="1767">
        <v>0</v>
      </c>
      <c r="AI153" s="1767">
        <v>0</v>
      </c>
      <c r="AJ153" s="1767">
        <v>0</v>
      </c>
      <c r="AK153" s="1767">
        <v>0</v>
      </c>
      <c r="AL153" s="1767">
        <v>0</v>
      </c>
      <c r="AM153" s="1767">
        <v>0</v>
      </c>
      <c r="AN153" s="1767">
        <v>0</v>
      </c>
      <c r="AO153" s="1767">
        <v>0</v>
      </c>
      <c r="AP153" s="1767">
        <v>0</v>
      </c>
      <c r="AQ153" s="1767">
        <v>0</v>
      </c>
      <c r="AR153" s="1767">
        <v>0</v>
      </c>
      <c r="AS153" s="1767">
        <v>0</v>
      </c>
      <c r="AT153" s="1767">
        <v>0</v>
      </c>
      <c r="AU153" s="1767">
        <v>0</v>
      </c>
      <c r="AV153" s="1767">
        <v>0</v>
      </c>
      <c r="AW153" s="1767">
        <v>0</v>
      </c>
      <c r="AX153" s="1767">
        <v>0</v>
      </c>
      <c r="AY153" s="1767">
        <v>0</v>
      </c>
      <c r="AZ153" s="1767">
        <v>0</v>
      </c>
      <c r="BA153" s="1767">
        <v>0</v>
      </c>
      <c r="BB153" s="1767">
        <v>0</v>
      </c>
      <c r="BC153" s="1767">
        <v>0</v>
      </c>
      <c r="BD153" s="1767">
        <v>0</v>
      </c>
      <c r="BE153" s="1767">
        <v>0</v>
      </c>
      <c r="BF153" s="1767">
        <v>0</v>
      </c>
      <c r="BG153" s="1767">
        <v>0</v>
      </c>
      <c r="BH153" s="1767">
        <v>0</v>
      </c>
      <c r="BI153" s="1767">
        <v>0</v>
      </c>
      <c r="BJ153" s="1767">
        <v>0</v>
      </c>
      <c r="BK153" s="1767">
        <v>0</v>
      </c>
      <c r="BL153" s="1767">
        <v>0</v>
      </c>
      <c r="BM153" s="1767">
        <v>0</v>
      </c>
      <c r="BN153" s="1767">
        <v>0</v>
      </c>
      <c r="BO153" s="1767">
        <v>0</v>
      </c>
      <c r="BP153" s="1767">
        <v>0</v>
      </c>
      <c r="BQ153" s="1767">
        <v>0</v>
      </c>
      <c r="BR153" s="1767">
        <v>0</v>
      </c>
      <c r="BS153" s="1767">
        <v>0</v>
      </c>
      <c r="BT153" s="1767">
        <v>0</v>
      </c>
      <c r="BU153" s="1767">
        <v>0</v>
      </c>
      <c r="BV153" s="1767">
        <v>0</v>
      </c>
      <c r="BW153" s="1767">
        <v>0</v>
      </c>
      <c r="BX153" s="1767">
        <v>0</v>
      </c>
      <c r="BY153" s="1767">
        <v>0</v>
      </c>
      <c r="BZ153" s="1767">
        <v>0</v>
      </c>
      <c r="CA153" s="1767">
        <v>0</v>
      </c>
      <c r="CB153" s="1767">
        <v>0</v>
      </c>
      <c r="CC153" s="1767">
        <v>0</v>
      </c>
      <c r="CD153" s="1767">
        <v>0</v>
      </c>
      <c r="CE153" s="1767">
        <v>0</v>
      </c>
      <c r="CF153" s="1767">
        <v>0</v>
      </c>
      <c r="CG153" s="1767">
        <v>0</v>
      </c>
      <c r="CH153" s="1767">
        <v>0</v>
      </c>
      <c r="CI153" s="1767">
        <v>0</v>
      </c>
      <c r="CJ153" s="1767">
        <v>0</v>
      </c>
      <c r="CK153" s="1767">
        <v>0</v>
      </c>
      <c r="CL153" s="1767">
        <v>0</v>
      </c>
      <c r="CM153" s="1767">
        <v>0</v>
      </c>
      <c r="CN153" s="1767">
        <v>0</v>
      </c>
      <c r="CO153" s="1767">
        <v>0</v>
      </c>
      <c r="CP153" s="1767">
        <v>0</v>
      </c>
    </row>
    <row r="154" spans="1:94" ht="36" customHeight="1" thickBot="1" x14ac:dyDescent="0.25">
      <c r="A154" s="1907" t="s">
        <v>2352</v>
      </c>
      <c r="B154" s="1908"/>
      <c r="C154" s="1909"/>
      <c r="D154" s="1281"/>
      <c r="E154" s="861"/>
      <c r="F154" s="1225"/>
      <c r="G154" s="1767">
        <v>0</v>
      </c>
      <c r="H154" s="1767">
        <v>0</v>
      </c>
      <c r="I154" s="1767">
        <v>0</v>
      </c>
      <c r="J154" s="1767">
        <v>0</v>
      </c>
      <c r="K154" s="1767">
        <v>0</v>
      </c>
      <c r="L154" s="1767">
        <v>0</v>
      </c>
      <c r="M154" s="1767">
        <v>0</v>
      </c>
      <c r="N154" s="1767">
        <v>0</v>
      </c>
      <c r="O154" s="1767">
        <v>0</v>
      </c>
      <c r="P154" s="1767">
        <v>0</v>
      </c>
      <c r="Q154" s="1767">
        <v>0</v>
      </c>
      <c r="R154" s="1767">
        <v>0</v>
      </c>
      <c r="S154" s="1767">
        <v>0</v>
      </c>
      <c r="T154" s="1767">
        <v>0</v>
      </c>
      <c r="U154" s="1767">
        <v>0</v>
      </c>
      <c r="V154" s="1767">
        <v>0</v>
      </c>
      <c r="W154" s="1767">
        <v>0</v>
      </c>
      <c r="X154" s="1767">
        <v>0</v>
      </c>
      <c r="Y154" s="1767">
        <v>0</v>
      </c>
      <c r="Z154" s="1767">
        <v>0</v>
      </c>
      <c r="AA154" s="1767">
        <v>0</v>
      </c>
      <c r="AB154" s="1767">
        <v>0</v>
      </c>
      <c r="AC154" s="1767">
        <v>0</v>
      </c>
      <c r="AD154" s="1767">
        <v>0</v>
      </c>
      <c r="AE154" s="1767">
        <v>0</v>
      </c>
      <c r="AF154" s="1767">
        <v>0</v>
      </c>
      <c r="AG154" s="1767">
        <v>0</v>
      </c>
      <c r="AH154" s="1767">
        <v>0</v>
      </c>
      <c r="AI154" s="1767">
        <v>0</v>
      </c>
      <c r="AJ154" s="1767">
        <v>0</v>
      </c>
      <c r="AK154" s="1767">
        <v>0</v>
      </c>
      <c r="AL154" s="1767">
        <v>0</v>
      </c>
      <c r="AM154" s="1767">
        <v>0</v>
      </c>
      <c r="AN154" s="1767">
        <v>0</v>
      </c>
      <c r="AO154" s="1767">
        <v>0</v>
      </c>
      <c r="AP154" s="1767">
        <v>0</v>
      </c>
      <c r="AQ154" s="1767">
        <v>0</v>
      </c>
      <c r="AR154" s="1767">
        <v>0</v>
      </c>
      <c r="AS154" s="1767">
        <v>0</v>
      </c>
      <c r="AT154" s="1767">
        <v>0</v>
      </c>
      <c r="AU154" s="1767">
        <v>0</v>
      </c>
      <c r="AV154" s="1767">
        <v>0</v>
      </c>
      <c r="AW154" s="1767">
        <v>0</v>
      </c>
      <c r="AX154" s="1767">
        <v>0</v>
      </c>
      <c r="AY154" s="1767">
        <v>0</v>
      </c>
      <c r="AZ154" s="1767">
        <v>0</v>
      </c>
      <c r="BA154" s="1767">
        <v>0</v>
      </c>
      <c r="BB154" s="1767">
        <v>0</v>
      </c>
      <c r="BC154" s="1767">
        <v>0</v>
      </c>
      <c r="BD154" s="1767">
        <v>0</v>
      </c>
      <c r="BE154" s="1767">
        <v>0</v>
      </c>
      <c r="BF154" s="1767">
        <v>0</v>
      </c>
      <c r="BG154" s="1767">
        <v>0</v>
      </c>
      <c r="BH154" s="1767">
        <v>0</v>
      </c>
      <c r="BI154" s="1767">
        <v>0</v>
      </c>
      <c r="BJ154" s="1767">
        <v>0</v>
      </c>
      <c r="BK154" s="1767">
        <v>0</v>
      </c>
      <c r="BL154" s="1767">
        <v>0</v>
      </c>
      <c r="BM154" s="1767">
        <v>0</v>
      </c>
      <c r="BN154" s="1767">
        <v>0</v>
      </c>
      <c r="BO154" s="1767">
        <v>0</v>
      </c>
      <c r="BP154" s="1767">
        <v>0</v>
      </c>
      <c r="BQ154" s="1767">
        <v>0</v>
      </c>
      <c r="BR154" s="1767">
        <v>0</v>
      </c>
      <c r="BS154" s="1767">
        <v>0</v>
      </c>
      <c r="BT154" s="1767">
        <v>0</v>
      </c>
      <c r="BU154" s="1767">
        <v>0</v>
      </c>
      <c r="BV154" s="1767">
        <v>0</v>
      </c>
      <c r="BW154" s="1767">
        <v>0</v>
      </c>
      <c r="BX154" s="1767">
        <v>0</v>
      </c>
      <c r="BY154" s="1767">
        <v>0</v>
      </c>
      <c r="BZ154" s="1767">
        <v>0</v>
      </c>
      <c r="CA154" s="1767">
        <v>0</v>
      </c>
      <c r="CB154" s="1767">
        <v>0</v>
      </c>
      <c r="CC154" s="1767">
        <v>0</v>
      </c>
      <c r="CD154" s="1767">
        <v>0</v>
      </c>
      <c r="CE154" s="1767">
        <v>0</v>
      </c>
      <c r="CF154" s="1767">
        <v>0</v>
      </c>
      <c r="CG154" s="1767">
        <v>0</v>
      </c>
      <c r="CH154" s="1767">
        <v>0</v>
      </c>
      <c r="CI154" s="1767">
        <v>0</v>
      </c>
      <c r="CJ154" s="1767">
        <v>0</v>
      </c>
      <c r="CK154" s="1767">
        <v>0</v>
      </c>
      <c r="CL154" s="1767">
        <v>0</v>
      </c>
      <c r="CM154" s="1767">
        <v>0</v>
      </c>
      <c r="CN154" s="1767">
        <v>0</v>
      </c>
      <c r="CO154" s="1767">
        <v>0</v>
      </c>
      <c r="CP154" s="1767">
        <v>0</v>
      </c>
    </row>
    <row r="155" spans="1:94" ht="45" customHeight="1" thickBot="1" x14ac:dyDescent="0.25">
      <c r="A155" s="1849" t="s">
        <v>1304</v>
      </c>
      <c r="B155" s="1833" t="s">
        <v>166</v>
      </c>
      <c r="C155" s="1779" t="s">
        <v>2523</v>
      </c>
      <c r="D155" s="947"/>
      <c r="E155" s="1836" t="s">
        <v>2319</v>
      </c>
      <c r="F155" s="1225"/>
      <c r="G155" s="1742"/>
      <c r="H155" s="1742"/>
      <c r="I155" s="1742"/>
      <c r="J155" s="1742"/>
      <c r="K155" s="1742"/>
      <c r="L155" s="1742"/>
      <c r="M155" s="1742"/>
      <c r="N155" s="1742"/>
      <c r="O155" s="1742"/>
      <c r="P155" s="1742"/>
      <c r="Q155" s="1742"/>
      <c r="R155" s="1742"/>
      <c r="S155" s="1742"/>
      <c r="T155" s="1742"/>
      <c r="U155" s="1742"/>
      <c r="V155" s="1742"/>
      <c r="W155" s="1742"/>
      <c r="X155" s="1742"/>
      <c r="Y155" s="1742"/>
      <c r="Z155" s="1742"/>
      <c r="AA155" s="1742"/>
      <c r="AB155" s="1742"/>
      <c r="AC155" s="1742"/>
      <c r="AD155" s="1742"/>
      <c r="AE155" s="1742"/>
      <c r="AF155" s="1742"/>
      <c r="AG155" s="1742"/>
      <c r="AH155" s="1742"/>
      <c r="AI155" s="1742"/>
      <c r="AJ155" s="1742"/>
      <c r="AK155" s="1742"/>
      <c r="AL155" s="1742"/>
      <c r="AM155" s="1742"/>
      <c r="AN155" s="1742"/>
      <c r="AO155" s="1742"/>
      <c r="AP155" s="1742"/>
      <c r="AQ155" s="1742"/>
      <c r="AR155" s="1742"/>
      <c r="AS155" s="1742"/>
      <c r="AT155" s="1742"/>
      <c r="AU155" s="1742"/>
      <c r="AV155" s="1742"/>
      <c r="AW155" s="1742"/>
      <c r="AX155" s="1742"/>
      <c r="AY155" s="1742"/>
      <c r="AZ155" s="1742"/>
      <c r="BA155" s="1742"/>
      <c r="BB155" s="1742"/>
      <c r="BC155" s="1742"/>
      <c r="BD155" s="1742"/>
      <c r="BE155" s="1742"/>
      <c r="BF155" s="1742"/>
      <c r="BG155" s="1742"/>
      <c r="BH155" s="1742"/>
      <c r="BI155" s="1742"/>
      <c r="BJ155" s="1742"/>
      <c r="BK155" s="1742"/>
      <c r="BL155" s="1742"/>
      <c r="BM155" s="1742"/>
      <c r="BN155" s="1742"/>
      <c r="BO155" s="1742"/>
      <c r="BP155" s="1742"/>
      <c r="BQ155" s="1742"/>
      <c r="BR155" s="1742"/>
      <c r="BS155" s="1742"/>
      <c r="BT155" s="1742"/>
      <c r="BU155" s="1742"/>
      <c r="BV155" s="1742"/>
      <c r="BW155" s="1742"/>
      <c r="BX155" s="1742"/>
      <c r="BY155" s="1742"/>
      <c r="BZ155" s="1742"/>
      <c r="CA155" s="1742"/>
      <c r="CB155" s="1742"/>
      <c r="CC155" s="1742"/>
      <c r="CD155" s="1742"/>
      <c r="CE155" s="1742"/>
      <c r="CF155" s="1742"/>
      <c r="CG155" s="1742"/>
      <c r="CH155" s="1742"/>
      <c r="CI155" s="1742"/>
      <c r="CJ155" s="1742"/>
      <c r="CK155" s="1742"/>
      <c r="CL155" s="1742"/>
      <c r="CM155" s="1742"/>
      <c r="CN155" s="1742"/>
      <c r="CO155" s="1742"/>
      <c r="CP155" s="1742"/>
    </row>
    <row r="156" spans="1:94" ht="15" customHeight="1" x14ac:dyDescent="0.2">
      <c r="A156" s="1847"/>
      <c r="B156" s="1834"/>
      <c r="C156" s="649" t="s">
        <v>2118</v>
      </c>
      <c r="D156" s="936"/>
      <c r="E156" s="1837"/>
      <c r="F156" s="1225"/>
      <c r="G156" s="1767">
        <v>0</v>
      </c>
      <c r="H156" s="1767">
        <v>0</v>
      </c>
      <c r="I156" s="1767">
        <v>0</v>
      </c>
      <c r="J156" s="1767">
        <v>0</v>
      </c>
      <c r="K156" s="1767">
        <v>0</v>
      </c>
      <c r="L156" s="1767">
        <v>0</v>
      </c>
      <c r="M156" s="1767">
        <v>0</v>
      </c>
      <c r="N156" s="1767">
        <v>0</v>
      </c>
      <c r="O156" s="1767">
        <v>0</v>
      </c>
      <c r="P156" s="1767">
        <v>0</v>
      </c>
      <c r="Q156" s="1767">
        <v>0</v>
      </c>
      <c r="R156" s="1767">
        <v>0</v>
      </c>
      <c r="S156" s="1767">
        <v>0</v>
      </c>
      <c r="T156" s="1767">
        <v>0</v>
      </c>
      <c r="U156" s="1767">
        <v>0</v>
      </c>
      <c r="V156" s="1767">
        <v>0</v>
      </c>
      <c r="W156" s="1767">
        <v>0</v>
      </c>
      <c r="X156" s="1767">
        <v>0</v>
      </c>
      <c r="Y156" s="1767">
        <v>0</v>
      </c>
      <c r="Z156" s="1767">
        <v>0</v>
      </c>
      <c r="AA156" s="1767">
        <v>0</v>
      </c>
      <c r="AB156" s="1767">
        <v>0</v>
      </c>
      <c r="AC156" s="1767">
        <v>0</v>
      </c>
      <c r="AD156" s="1767">
        <v>0</v>
      </c>
      <c r="AE156" s="1767">
        <v>0</v>
      </c>
      <c r="AF156" s="1767">
        <v>0</v>
      </c>
      <c r="AG156" s="1767">
        <v>0</v>
      </c>
      <c r="AH156" s="1767">
        <v>0</v>
      </c>
      <c r="AI156" s="1767">
        <v>0</v>
      </c>
      <c r="AJ156" s="1767">
        <v>0</v>
      </c>
      <c r="AK156" s="1767">
        <v>0</v>
      </c>
      <c r="AL156" s="1767">
        <v>0</v>
      </c>
      <c r="AM156" s="1767">
        <v>0</v>
      </c>
      <c r="AN156" s="1767">
        <v>0</v>
      </c>
      <c r="AO156" s="1767">
        <v>0</v>
      </c>
      <c r="AP156" s="1767">
        <v>0</v>
      </c>
      <c r="AQ156" s="1767">
        <v>0</v>
      </c>
      <c r="AR156" s="1767">
        <v>0</v>
      </c>
      <c r="AS156" s="1767">
        <v>0</v>
      </c>
      <c r="AT156" s="1767">
        <v>0</v>
      </c>
      <c r="AU156" s="1767">
        <v>0</v>
      </c>
      <c r="AV156" s="1767">
        <v>0</v>
      </c>
      <c r="AW156" s="1767">
        <v>0</v>
      </c>
      <c r="AX156" s="1767">
        <v>0</v>
      </c>
      <c r="AY156" s="1767">
        <v>0</v>
      </c>
      <c r="AZ156" s="1767">
        <v>0</v>
      </c>
      <c r="BA156" s="1767">
        <v>0</v>
      </c>
      <c r="BB156" s="1767">
        <v>0</v>
      </c>
      <c r="BC156" s="1767">
        <v>0</v>
      </c>
      <c r="BD156" s="1767">
        <v>0</v>
      </c>
      <c r="BE156" s="1767">
        <v>0</v>
      </c>
      <c r="BF156" s="1767">
        <v>0</v>
      </c>
      <c r="BG156" s="1767">
        <v>0</v>
      </c>
      <c r="BH156" s="1767">
        <v>0</v>
      </c>
      <c r="BI156" s="1767">
        <v>0</v>
      </c>
      <c r="BJ156" s="1767">
        <v>0</v>
      </c>
      <c r="BK156" s="1767">
        <v>0</v>
      </c>
      <c r="BL156" s="1767">
        <v>0</v>
      </c>
      <c r="BM156" s="1767">
        <v>0</v>
      </c>
      <c r="BN156" s="1767">
        <v>0</v>
      </c>
      <c r="BO156" s="1767">
        <v>0</v>
      </c>
      <c r="BP156" s="1767">
        <v>0</v>
      </c>
      <c r="BQ156" s="1767">
        <v>0</v>
      </c>
      <c r="BR156" s="1767">
        <v>0</v>
      </c>
      <c r="BS156" s="1767">
        <v>0</v>
      </c>
      <c r="BT156" s="1767">
        <v>0</v>
      </c>
      <c r="BU156" s="1767">
        <v>0</v>
      </c>
      <c r="BV156" s="1767">
        <v>0</v>
      </c>
      <c r="BW156" s="1767">
        <v>0</v>
      </c>
      <c r="BX156" s="1767">
        <v>0</v>
      </c>
      <c r="BY156" s="1767">
        <v>0</v>
      </c>
      <c r="BZ156" s="1767">
        <v>0</v>
      </c>
      <c r="CA156" s="1767">
        <v>0</v>
      </c>
      <c r="CB156" s="1767">
        <v>0</v>
      </c>
      <c r="CC156" s="1767">
        <v>0</v>
      </c>
      <c r="CD156" s="1767">
        <v>0</v>
      </c>
      <c r="CE156" s="1767">
        <v>0</v>
      </c>
      <c r="CF156" s="1767">
        <v>0</v>
      </c>
      <c r="CG156" s="1767">
        <v>0</v>
      </c>
      <c r="CH156" s="1767">
        <v>0</v>
      </c>
      <c r="CI156" s="1767">
        <v>0</v>
      </c>
      <c r="CJ156" s="1767">
        <v>0</v>
      </c>
      <c r="CK156" s="1767">
        <v>0</v>
      </c>
      <c r="CL156" s="1767">
        <v>0</v>
      </c>
      <c r="CM156" s="1767">
        <v>0</v>
      </c>
      <c r="CN156" s="1767">
        <v>0</v>
      </c>
      <c r="CO156" s="1767">
        <v>0</v>
      </c>
      <c r="CP156" s="1767">
        <v>0</v>
      </c>
    </row>
    <row r="157" spans="1:94" ht="15" customHeight="1" x14ac:dyDescent="0.2">
      <c r="A157" s="1847"/>
      <c r="B157" s="1834"/>
      <c r="C157" s="663" t="s">
        <v>2119</v>
      </c>
      <c r="D157" s="936"/>
      <c r="E157" s="1837"/>
      <c r="F157" s="1225"/>
      <c r="G157" s="1767">
        <v>0</v>
      </c>
      <c r="H157" s="1767">
        <v>0</v>
      </c>
      <c r="I157" s="1767">
        <v>0</v>
      </c>
      <c r="J157" s="1767">
        <v>0</v>
      </c>
      <c r="K157" s="1767">
        <v>0</v>
      </c>
      <c r="L157" s="1767">
        <v>0</v>
      </c>
      <c r="M157" s="1767">
        <v>0</v>
      </c>
      <c r="N157" s="1767">
        <v>0</v>
      </c>
      <c r="O157" s="1767">
        <v>0</v>
      </c>
      <c r="P157" s="1767">
        <v>0</v>
      </c>
      <c r="Q157" s="1767">
        <v>0</v>
      </c>
      <c r="R157" s="1767">
        <v>0</v>
      </c>
      <c r="S157" s="1767">
        <v>0</v>
      </c>
      <c r="T157" s="1767">
        <v>0</v>
      </c>
      <c r="U157" s="1767">
        <v>0</v>
      </c>
      <c r="V157" s="1767">
        <v>0</v>
      </c>
      <c r="W157" s="1767">
        <v>0</v>
      </c>
      <c r="X157" s="1767">
        <v>0</v>
      </c>
      <c r="Y157" s="1767">
        <v>0</v>
      </c>
      <c r="Z157" s="1767">
        <v>0</v>
      </c>
      <c r="AA157" s="1767">
        <v>0</v>
      </c>
      <c r="AB157" s="1767">
        <v>0</v>
      </c>
      <c r="AC157" s="1767">
        <v>0</v>
      </c>
      <c r="AD157" s="1767">
        <v>0</v>
      </c>
      <c r="AE157" s="1767">
        <v>0</v>
      </c>
      <c r="AF157" s="1767">
        <v>0</v>
      </c>
      <c r="AG157" s="1767">
        <v>0</v>
      </c>
      <c r="AH157" s="1767">
        <v>0</v>
      </c>
      <c r="AI157" s="1767">
        <v>0</v>
      </c>
      <c r="AJ157" s="1767">
        <v>0</v>
      </c>
      <c r="AK157" s="1767">
        <v>0</v>
      </c>
      <c r="AL157" s="1767">
        <v>0</v>
      </c>
      <c r="AM157" s="1767">
        <v>0</v>
      </c>
      <c r="AN157" s="1767">
        <v>0</v>
      </c>
      <c r="AO157" s="1767">
        <v>0</v>
      </c>
      <c r="AP157" s="1767">
        <v>0</v>
      </c>
      <c r="AQ157" s="1767">
        <v>0</v>
      </c>
      <c r="AR157" s="1767">
        <v>0</v>
      </c>
      <c r="AS157" s="1767">
        <v>0</v>
      </c>
      <c r="AT157" s="1767">
        <v>0</v>
      </c>
      <c r="AU157" s="1767">
        <v>0</v>
      </c>
      <c r="AV157" s="1767">
        <v>0</v>
      </c>
      <c r="AW157" s="1767">
        <v>0</v>
      </c>
      <c r="AX157" s="1767">
        <v>0</v>
      </c>
      <c r="AY157" s="1767">
        <v>0</v>
      </c>
      <c r="AZ157" s="1767">
        <v>0</v>
      </c>
      <c r="BA157" s="1767">
        <v>0</v>
      </c>
      <c r="BB157" s="1767">
        <v>0</v>
      </c>
      <c r="BC157" s="1767">
        <v>0</v>
      </c>
      <c r="BD157" s="1767">
        <v>0</v>
      </c>
      <c r="BE157" s="1767">
        <v>0</v>
      </c>
      <c r="BF157" s="1767">
        <v>0</v>
      </c>
      <c r="BG157" s="1767">
        <v>0</v>
      </c>
      <c r="BH157" s="1767">
        <v>0</v>
      </c>
      <c r="BI157" s="1767">
        <v>0</v>
      </c>
      <c r="BJ157" s="1767">
        <v>0</v>
      </c>
      <c r="BK157" s="1767">
        <v>0</v>
      </c>
      <c r="BL157" s="1767">
        <v>0</v>
      </c>
      <c r="BM157" s="1767">
        <v>0</v>
      </c>
      <c r="BN157" s="1767">
        <v>0</v>
      </c>
      <c r="BO157" s="1767">
        <v>0</v>
      </c>
      <c r="BP157" s="1767">
        <v>0</v>
      </c>
      <c r="BQ157" s="1767">
        <v>0</v>
      </c>
      <c r="BR157" s="1767">
        <v>0</v>
      </c>
      <c r="BS157" s="1767">
        <v>0</v>
      </c>
      <c r="BT157" s="1767">
        <v>0</v>
      </c>
      <c r="BU157" s="1767">
        <v>0</v>
      </c>
      <c r="BV157" s="1767">
        <v>0</v>
      </c>
      <c r="BW157" s="1767">
        <v>0</v>
      </c>
      <c r="BX157" s="1767">
        <v>0</v>
      </c>
      <c r="BY157" s="1767">
        <v>0</v>
      </c>
      <c r="BZ157" s="1767">
        <v>0</v>
      </c>
      <c r="CA157" s="1767">
        <v>0</v>
      </c>
      <c r="CB157" s="1767">
        <v>0</v>
      </c>
      <c r="CC157" s="1767">
        <v>0</v>
      </c>
      <c r="CD157" s="1767">
        <v>0</v>
      </c>
      <c r="CE157" s="1767">
        <v>0</v>
      </c>
      <c r="CF157" s="1767">
        <v>0</v>
      </c>
      <c r="CG157" s="1767">
        <v>0</v>
      </c>
      <c r="CH157" s="1767">
        <v>0</v>
      </c>
      <c r="CI157" s="1767">
        <v>0</v>
      </c>
      <c r="CJ157" s="1767">
        <v>0</v>
      </c>
      <c r="CK157" s="1767">
        <v>0</v>
      </c>
      <c r="CL157" s="1767">
        <v>0</v>
      </c>
      <c r="CM157" s="1767">
        <v>0</v>
      </c>
      <c r="CN157" s="1767">
        <v>0</v>
      </c>
      <c r="CO157" s="1767">
        <v>0</v>
      </c>
      <c r="CP157" s="1767">
        <v>0</v>
      </c>
    </row>
    <row r="158" spans="1:94" ht="15" customHeight="1" x14ac:dyDescent="0.2">
      <c r="A158" s="1847"/>
      <c r="B158" s="1834"/>
      <c r="C158" s="663" t="s">
        <v>2120</v>
      </c>
      <c r="D158" s="936"/>
      <c r="E158" s="1837"/>
      <c r="F158" s="1225"/>
      <c r="G158" s="1767">
        <v>0</v>
      </c>
      <c r="H158" s="1767">
        <v>0</v>
      </c>
      <c r="I158" s="1767">
        <v>0</v>
      </c>
      <c r="J158" s="1767">
        <v>0</v>
      </c>
      <c r="K158" s="1767">
        <v>0</v>
      </c>
      <c r="L158" s="1767">
        <v>0</v>
      </c>
      <c r="M158" s="1767">
        <v>0</v>
      </c>
      <c r="N158" s="1767">
        <v>0</v>
      </c>
      <c r="O158" s="1767">
        <v>0</v>
      </c>
      <c r="P158" s="1767">
        <v>0</v>
      </c>
      <c r="Q158" s="1767">
        <v>0</v>
      </c>
      <c r="R158" s="1767">
        <v>0</v>
      </c>
      <c r="S158" s="1767">
        <v>0</v>
      </c>
      <c r="T158" s="1767">
        <v>0</v>
      </c>
      <c r="U158" s="1767">
        <v>0</v>
      </c>
      <c r="V158" s="1767">
        <v>0</v>
      </c>
      <c r="W158" s="1767">
        <v>0</v>
      </c>
      <c r="X158" s="1767">
        <v>0</v>
      </c>
      <c r="Y158" s="1767">
        <v>0</v>
      </c>
      <c r="Z158" s="1767">
        <v>0</v>
      </c>
      <c r="AA158" s="1767">
        <v>0</v>
      </c>
      <c r="AB158" s="1767">
        <v>0</v>
      </c>
      <c r="AC158" s="1767">
        <v>0</v>
      </c>
      <c r="AD158" s="1767">
        <v>0</v>
      </c>
      <c r="AE158" s="1767">
        <v>0</v>
      </c>
      <c r="AF158" s="1767">
        <v>0</v>
      </c>
      <c r="AG158" s="1767">
        <v>0</v>
      </c>
      <c r="AH158" s="1767">
        <v>0</v>
      </c>
      <c r="AI158" s="1767">
        <v>0</v>
      </c>
      <c r="AJ158" s="1767">
        <v>0</v>
      </c>
      <c r="AK158" s="1767">
        <v>0</v>
      </c>
      <c r="AL158" s="1767">
        <v>0</v>
      </c>
      <c r="AM158" s="1767">
        <v>0</v>
      </c>
      <c r="AN158" s="1767">
        <v>0</v>
      </c>
      <c r="AO158" s="1767">
        <v>0</v>
      </c>
      <c r="AP158" s="1767">
        <v>0</v>
      </c>
      <c r="AQ158" s="1767">
        <v>0</v>
      </c>
      <c r="AR158" s="1767">
        <v>0</v>
      </c>
      <c r="AS158" s="1767">
        <v>0</v>
      </c>
      <c r="AT158" s="1767">
        <v>0</v>
      </c>
      <c r="AU158" s="1767">
        <v>0</v>
      </c>
      <c r="AV158" s="1767">
        <v>0</v>
      </c>
      <c r="AW158" s="1767">
        <v>0</v>
      </c>
      <c r="AX158" s="1767">
        <v>0</v>
      </c>
      <c r="AY158" s="1767">
        <v>0</v>
      </c>
      <c r="AZ158" s="1767">
        <v>0</v>
      </c>
      <c r="BA158" s="1767">
        <v>0</v>
      </c>
      <c r="BB158" s="1767">
        <v>0</v>
      </c>
      <c r="BC158" s="1767">
        <v>0</v>
      </c>
      <c r="BD158" s="1767">
        <v>0</v>
      </c>
      <c r="BE158" s="1767">
        <v>0</v>
      </c>
      <c r="BF158" s="1767">
        <v>0</v>
      </c>
      <c r="BG158" s="1767">
        <v>0</v>
      </c>
      <c r="BH158" s="1767">
        <v>0</v>
      </c>
      <c r="BI158" s="1767">
        <v>0</v>
      </c>
      <c r="BJ158" s="1767">
        <v>0</v>
      </c>
      <c r="BK158" s="1767">
        <v>0</v>
      </c>
      <c r="BL158" s="1767">
        <v>0</v>
      </c>
      <c r="BM158" s="1767">
        <v>0</v>
      </c>
      <c r="BN158" s="1767">
        <v>0</v>
      </c>
      <c r="BO158" s="1767">
        <v>0</v>
      </c>
      <c r="BP158" s="1767">
        <v>0</v>
      </c>
      <c r="BQ158" s="1767">
        <v>0</v>
      </c>
      <c r="BR158" s="1767">
        <v>0</v>
      </c>
      <c r="BS158" s="1767">
        <v>0</v>
      </c>
      <c r="BT158" s="1767">
        <v>0</v>
      </c>
      <c r="BU158" s="1767">
        <v>0</v>
      </c>
      <c r="BV158" s="1767">
        <v>0</v>
      </c>
      <c r="BW158" s="1767">
        <v>0</v>
      </c>
      <c r="BX158" s="1767">
        <v>0</v>
      </c>
      <c r="BY158" s="1767">
        <v>0</v>
      </c>
      <c r="BZ158" s="1767">
        <v>0</v>
      </c>
      <c r="CA158" s="1767">
        <v>0</v>
      </c>
      <c r="CB158" s="1767">
        <v>0</v>
      </c>
      <c r="CC158" s="1767">
        <v>0</v>
      </c>
      <c r="CD158" s="1767">
        <v>0</v>
      </c>
      <c r="CE158" s="1767">
        <v>0</v>
      </c>
      <c r="CF158" s="1767">
        <v>0</v>
      </c>
      <c r="CG158" s="1767">
        <v>0</v>
      </c>
      <c r="CH158" s="1767">
        <v>0</v>
      </c>
      <c r="CI158" s="1767">
        <v>0</v>
      </c>
      <c r="CJ158" s="1767">
        <v>0</v>
      </c>
      <c r="CK158" s="1767">
        <v>0</v>
      </c>
      <c r="CL158" s="1767">
        <v>0</v>
      </c>
      <c r="CM158" s="1767">
        <v>0</v>
      </c>
      <c r="CN158" s="1767">
        <v>0</v>
      </c>
      <c r="CO158" s="1767">
        <v>0</v>
      </c>
      <c r="CP158" s="1767">
        <v>0</v>
      </c>
    </row>
    <row r="159" spans="1:94" ht="15" customHeight="1" x14ac:dyDescent="0.2">
      <c r="A159" s="1847"/>
      <c r="B159" s="1834"/>
      <c r="C159" s="663" t="s">
        <v>2121</v>
      </c>
      <c r="D159" s="936"/>
      <c r="E159" s="1837"/>
      <c r="F159" s="1225"/>
      <c r="G159" s="1767">
        <v>0</v>
      </c>
      <c r="H159" s="1767">
        <v>0</v>
      </c>
      <c r="I159" s="1767">
        <v>0</v>
      </c>
      <c r="J159" s="1767">
        <v>0</v>
      </c>
      <c r="K159" s="1767">
        <v>0</v>
      </c>
      <c r="L159" s="1767">
        <v>0</v>
      </c>
      <c r="M159" s="1767">
        <v>0</v>
      </c>
      <c r="N159" s="1767">
        <v>0</v>
      </c>
      <c r="O159" s="1767">
        <v>0</v>
      </c>
      <c r="P159" s="1767">
        <v>0</v>
      </c>
      <c r="Q159" s="1767">
        <v>0</v>
      </c>
      <c r="R159" s="1767">
        <v>0</v>
      </c>
      <c r="S159" s="1767">
        <v>0</v>
      </c>
      <c r="T159" s="1767">
        <v>0</v>
      </c>
      <c r="U159" s="1767">
        <v>0</v>
      </c>
      <c r="V159" s="1767">
        <v>0</v>
      </c>
      <c r="W159" s="1767">
        <v>0</v>
      </c>
      <c r="X159" s="1767">
        <v>0</v>
      </c>
      <c r="Y159" s="1767">
        <v>0</v>
      </c>
      <c r="Z159" s="1767">
        <v>0</v>
      </c>
      <c r="AA159" s="1767">
        <v>0</v>
      </c>
      <c r="AB159" s="1767">
        <v>0</v>
      </c>
      <c r="AC159" s="1767">
        <v>0</v>
      </c>
      <c r="AD159" s="1767">
        <v>0</v>
      </c>
      <c r="AE159" s="1767">
        <v>0</v>
      </c>
      <c r="AF159" s="1767">
        <v>0</v>
      </c>
      <c r="AG159" s="1767">
        <v>0</v>
      </c>
      <c r="AH159" s="1767">
        <v>0</v>
      </c>
      <c r="AI159" s="1767">
        <v>0</v>
      </c>
      <c r="AJ159" s="1767">
        <v>0</v>
      </c>
      <c r="AK159" s="1767">
        <v>0</v>
      </c>
      <c r="AL159" s="1767">
        <v>0</v>
      </c>
      <c r="AM159" s="1767">
        <v>0</v>
      </c>
      <c r="AN159" s="1767">
        <v>0</v>
      </c>
      <c r="AO159" s="1767">
        <v>0</v>
      </c>
      <c r="AP159" s="1767">
        <v>0</v>
      </c>
      <c r="AQ159" s="1767">
        <v>0</v>
      </c>
      <c r="AR159" s="1767">
        <v>0</v>
      </c>
      <c r="AS159" s="1767">
        <v>0</v>
      </c>
      <c r="AT159" s="1767">
        <v>0</v>
      </c>
      <c r="AU159" s="1767">
        <v>0</v>
      </c>
      <c r="AV159" s="1767">
        <v>0</v>
      </c>
      <c r="AW159" s="1767">
        <v>0</v>
      </c>
      <c r="AX159" s="1767">
        <v>0</v>
      </c>
      <c r="AY159" s="1767">
        <v>0</v>
      </c>
      <c r="AZ159" s="1767">
        <v>0</v>
      </c>
      <c r="BA159" s="1767">
        <v>0</v>
      </c>
      <c r="BB159" s="1767">
        <v>0</v>
      </c>
      <c r="BC159" s="1767">
        <v>0</v>
      </c>
      <c r="BD159" s="1767">
        <v>0</v>
      </c>
      <c r="BE159" s="1767">
        <v>0</v>
      </c>
      <c r="BF159" s="1767">
        <v>0</v>
      </c>
      <c r="BG159" s="1767">
        <v>0</v>
      </c>
      <c r="BH159" s="1767">
        <v>0</v>
      </c>
      <c r="BI159" s="1767">
        <v>0</v>
      </c>
      <c r="BJ159" s="1767">
        <v>0</v>
      </c>
      <c r="BK159" s="1767">
        <v>0</v>
      </c>
      <c r="BL159" s="1767">
        <v>0</v>
      </c>
      <c r="BM159" s="1767">
        <v>0</v>
      </c>
      <c r="BN159" s="1767">
        <v>0</v>
      </c>
      <c r="BO159" s="1767">
        <v>0</v>
      </c>
      <c r="BP159" s="1767">
        <v>0</v>
      </c>
      <c r="BQ159" s="1767">
        <v>0</v>
      </c>
      <c r="BR159" s="1767">
        <v>0</v>
      </c>
      <c r="BS159" s="1767">
        <v>0</v>
      </c>
      <c r="BT159" s="1767">
        <v>0</v>
      </c>
      <c r="BU159" s="1767">
        <v>0</v>
      </c>
      <c r="BV159" s="1767">
        <v>0</v>
      </c>
      <c r="BW159" s="1767">
        <v>0</v>
      </c>
      <c r="BX159" s="1767">
        <v>0</v>
      </c>
      <c r="BY159" s="1767">
        <v>0</v>
      </c>
      <c r="BZ159" s="1767">
        <v>0</v>
      </c>
      <c r="CA159" s="1767">
        <v>0</v>
      </c>
      <c r="CB159" s="1767">
        <v>0</v>
      </c>
      <c r="CC159" s="1767">
        <v>0</v>
      </c>
      <c r="CD159" s="1767">
        <v>0</v>
      </c>
      <c r="CE159" s="1767">
        <v>0</v>
      </c>
      <c r="CF159" s="1767">
        <v>0</v>
      </c>
      <c r="CG159" s="1767">
        <v>0</v>
      </c>
      <c r="CH159" s="1767">
        <v>0</v>
      </c>
      <c r="CI159" s="1767">
        <v>0</v>
      </c>
      <c r="CJ159" s="1767">
        <v>0</v>
      </c>
      <c r="CK159" s="1767">
        <v>0</v>
      </c>
      <c r="CL159" s="1767">
        <v>0</v>
      </c>
      <c r="CM159" s="1767">
        <v>0</v>
      </c>
      <c r="CN159" s="1767">
        <v>0</v>
      </c>
      <c r="CO159" s="1767">
        <v>0</v>
      </c>
      <c r="CP159" s="1767">
        <v>0</v>
      </c>
    </row>
    <row r="160" spans="1:94" ht="15" customHeight="1" thickBot="1" x14ac:dyDescent="0.25">
      <c r="A160" s="1848"/>
      <c r="B160" s="1835"/>
      <c r="C160" s="650" t="s">
        <v>571</v>
      </c>
      <c r="D160" s="950"/>
      <c r="E160" s="1838"/>
      <c r="F160" s="1225"/>
      <c r="G160" s="1767">
        <v>0</v>
      </c>
      <c r="H160" s="1767">
        <v>0</v>
      </c>
      <c r="I160" s="1767">
        <v>0</v>
      </c>
      <c r="J160" s="1767">
        <v>0</v>
      </c>
      <c r="K160" s="1767">
        <v>0</v>
      </c>
      <c r="L160" s="1767">
        <v>0</v>
      </c>
      <c r="M160" s="1767">
        <v>0</v>
      </c>
      <c r="N160" s="1767">
        <v>0</v>
      </c>
      <c r="O160" s="1767">
        <v>0</v>
      </c>
      <c r="P160" s="1767">
        <v>0</v>
      </c>
      <c r="Q160" s="1767">
        <v>0</v>
      </c>
      <c r="R160" s="1767">
        <v>0</v>
      </c>
      <c r="S160" s="1767">
        <v>0</v>
      </c>
      <c r="T160" s="1767">
        <v>0</v>
      </c>
      <c r="U160" s="1767">
        <v>0</v>
      </c>
      <c r="V160" s="1767">
        <v>0</v>
      </c>
      <c r="W160" s="1767">
        <v>0</v>
      </c>
      <c r="X160" s="1767">
        <v>0</v>
      </c>
      <c r="Y160" s="1767">
        <v>0</v>
      </c>
      <c r="Z160" s="1767">
        <v>0</v>
      </c>
      <c r="AA160" s="1767">
        <v>0</v>
      </c>
      <c r="AB160" s="1767">
        <v>0</v>
      </c>
      <c r="AC160" s="1767">
        <v>0</v>
      </c>
      <c r="AD160" s="1767">
        <v>0</v>
      </c>
      <c r="AE160" s="1767">
        <v>0</v>
      </c>
      <c r="AF160" s="1767">
        <v>0</v>
      </c>
      <c r="AG160" s="1767">
        <v>0</v>
      </c>
      <c r="AH160" s="1767">
        <v>0</v>
      </c>
      <c r="AI160" s="1767">
        <v>0</v>
      </c>
      <c r="AJ160" s="1767">
        <v>0</v>
      </c>
      <c r="AK160" s="1767">
        <v>0</v>
      </c>
      <c r="AL160" s="1767">
        <v>0</v>
      </c>
      <c r="AM160" s="1767">
        <v>0</v>
      </c>
      <c r="AN160" s="1767">
        <v>0</v>
      </c>
      <c r="AO160" s="1767">
        <v>0</v>
      </c>
      <c r="AP160" s="1767">
        <v>0</v>
      </c>
      <c r="AQ160" s="1767">
        <v>0</v>
      </c>
      <c r="AR160" s="1767">
        <v>0</v>
      </c>
      <c r="AS160" s="1767">
        <v>0</v>
      </c>
      <c r="AT160" s="1767">
        <v>0</v>
      </c>
      <c r="AU160" s="1767">
        <v>0</v>
      </c>
      <c r="AV160" s="1767">
        <v>0</v>
      </c>
      <c r="AW160" s="1767">
        <v>0</v>
      </c>
      <c r="AX160" s="1767">
        <v>0</v>
      </c>
      <c r="AY160" s="1767">
        <v>0</v>
      </c>
      <c r="AZ160" s="1767">
        <v>0</v>
      </c>
      <c r="BA160" s="1767">
        <v>0</v>
      </c>
      <c r="BB160" s="1767">
        <v>0</v>
      </c>
      <c r="BC160" s="1767">
        <v>0</v>
      </c>
      <c r="BD160" s="1767">
        <v>0</v>
      </c>
      <c r="BE160" s="1767">
        <v>0</v>
      </c>
      <c r="BF160" s="1767">
        <v>0</v>
      </c>
      <c r="BG160" s="1767">
        <v>0</v>
      </c>
      <c r="BH160" s="1767">
        <v>0</v>
      </c>
      <c r="BI160" s="1767">
        <v>0</v>
      </c>
      <c r="BJ160" s="1767">
        <v>0</v>
      </c>
      <c r="BK160" s="1767">
        <v>0</v>
      </c>
      <c r="BL160" s="1767">
        <v>0</v>
      </c>
      <c r="BM160" s="1767">
        <v>0</v>
      </c>
      <c r="BN160" s="1767">
        <v>0</v>
      </c>
      <c r="BO160" s="1767">
        <v>0</v>
      </c>
      <c r="BP160" s="1767">
        <v>0</v>
      </c>
      <c r="BQ160" s="1767">
        <v>0</v>
      </c>
      <c r="BR160" s="1767">
        <v>0</v>
      </c>
      <c r="BS160" s="1767">
        <v>0</v>
      </c>
      <c r="BT160" s="1767">
        <v>0</v>
      </c>
      <c r="BU160" s="1767">
        <v>0</v>
      </c>
      <c r="BV160" s="1767">
        <v>0</v>
      </c>
      <c r="BW160" s="1767">
        <v>0</v>
      </c>
      <c r="BX160" s="1767">
        <v>0</v>
      </c>
      <c r="BY160" s="1767">
        <v>0</v>
      </c>
      <c r="BZ160" s="1767">
        <v>0</v>
      </c>
      <c r="CA160" s="1767">
        <v>0</v>
      </c>
      <c r="CB160" s="1767">
        <v>0</v>
      </c>
      <c r="CC160" s="1767">
        <v>0</v>
      </c>
      <c r="CD160" s="1767">
        <v>0</v>
      </c>
      <c r="CE160" s="1767">
        <v>0</v>
      </c>
      <c r="CF160" s="1767">
        <v>0</v>
      </c>
      <c r="CG160" s="1767">
        <v>0</v>
      </c>
      <c r="CH160" s="1767">
        <v>0</v>
      </c>
      <c r="CI160" s="1767">
        <v>0</v>
      </c>
      <c r="CJ160" s="1767">
        <v>0</v>
      </c>
      <c r="CK160" s="1767">
        <v>0</v>
      </c>
      <c r="CL160" s="1767">
        <v>0</v>
      </c>
      <c r="CM160" s="1767">
        <v>0</v>
      </c>
      <c r="CN160" s="1767">
        <v>0</v>
      </c>
      <c r="CO160" s="1767">
        <v>0</v>
      </c>
      <c r="CP160" s="1767">
        <v>0</v>
      </c>
    </row>
    <row r="161" spans="1:94" ht="28.5" customHeight="1" thickBot="1" x14ac:dyDescent="0.25">
      <c r="A161" s="1889" t="s">
        <v>1305</v>
      </c>
      <c r="B161" s="1834" t="s">
        <v>629</v>
      </c>
      <c r="C161" s="1778" t="s">
        <v>2278</v>
      </c>
      <c r="D161" s="946"/>
      <c r="E161" s="1837" t="s">
        <v>1818</v>
      </c>
      <c r="F161" s="1225"/>
      <c r="G161" s="1742"/>
      <c r="H161" s="1742"/>
      <c r="I161" s="1742"/>
      <c r="J161" s="1742"/>
      <c r="K161" s="1742"/>
      <c r="L161" s="1742"/>
      <c r="M161" s="1742"/>
      <c r="N161" s="1742"/>
      <c r="O161" s="1742"/>
      <c r="P161" s="1742"/>
      <c r="Q161" s="1742"/>
      <c r="R161" s="1742"/>
      <c r="S161" s="1742"/>
      <c r="T161" s="1742"/>
      <c r="U161" s="1742"/>
      <c r="V161" s="1742"/>
      <c r="W161" s="1742"/>
      <c r="X161" s="1742"/>
      <c r="Y161" s="1742"/>
      <c r="Z161" s="1742"/>
      <c r="AA161" s="1742"/>
      <c r="AB161" s="1742"/>
      <c r="AC161" s="1742"/>
      <c r="AD161" s="1742"/>
      <c r="AE161" s="1742"/>
      <c r="AF161" s="1742"/>
      <c r="AG161" s="1742"/>
      <c r="AH161" s="1742"/>
      <c r="AI161" s="1742"/>
      <c r="AJ161" s="1742"/>
      <c r="AK161" s="1742"/>
      <c r="AL161" s="1742"/>
      <c r="AM161" s="1742"/>
      <c r="AN161" s="1742"/>
      <c r="AO161" s="1742"/>
      <c r="AP161" s="1742"/>
      <c r="AQ161" s="1742"/>
      <c r="AR161" s="1742"/>
      <c r="AS161" s="1742"/>
      <c r="AT161" s="1742"/>
      <c r="AU161" s="1742"/>
      <c r="AV161" s="1742"/>
      <c r="AW161" s="1742"/>
      <c r="AX161" s="1742"/>
      <c r="AY161" s="1742"/>
      <c r="AZ161" s="1742"/>
      <c r="BA161" s="1742"/>
      <c r="BB161" s="1742"/>
      <c r="BC161" s="1742"/>
      <c r="BD161" s="1742"/>
      <c r="BE161" s="1742"/>
      <c r="BF161" s="1742"/>
      <c r="BG161" s="1742"/>
      <c r="BH161" s="1742"/>
      <c r="BI161" s="1742"/>
      <c r="BJ161" s="1742"/>
      <c r="BK161" s="1742"/>
      <c r="BL161" s="1742"/>
      <c r="BM161" s="1742"/>
      <c r="BN161" s="1742"/>
      <c r="BO161" s="1742"/>
      <c r="BP161" s="1742"/>
      <c r="BQ161" s="1742"/>
      <c r="BR161" s="1742"/>
      <c r="BS161" s="1742"/>
      <c r="BT161" s="1742"/>
      <c r="BU161" s="1742"/>
      <c r="BV161" s="1742"/>
      <c r="BW161" s="1742"/>
      <c r="BX161" s="1742"/>
      <c r="BY161" s="1742"/>
      <c r="BZ161" s="1742"/>
      <c r="CA161" s="1742"/>
      <c r="CB161" s="1742"/>
      <c r="CC161" s="1742"/>
      <c r="CD161" s="1742"/>
      <c r="CE161" s="1742"/>
      <c r="CF161" s="1742"/>
      <c r="CG161" s="1742"/>
      <c r="CH161" s="1742"/>
      <c r="CI161" s="1742"/>
      <c r="CJ161" s="1742"/>
      <c r="CK161" s="1742"/>
      <c r="CL161" s="1742"/>
      <c r="CM161" s="1742"/>
      <c r="CN161" s="1742"/>
      <c r="CO161" s="1742"/>
      <c r="CP161" s="1742"/>
    </row>
    <row r="162" spans="1:94" ht="15" customHeight="1" x14ac:dyDescent="0.2">
      <c r="A162" s="1847"/>
      <c r="B162" s="1834"/>
      <c r="C162" s="649" t="s">
        <v>2279</v>
      </c>
      <c r="D162" s="936"/>
      <c r="E162" s="1837"/>
      <c r="F162" s="1225"/>
      <c r="G162" s="1767">
        <v>0</v>
      </c>
      <c r="H162" s="1767">
        <v>0</v>
      </c>
      <c r="I162" s="1767">
        <v>0</v>
      </c>
      <c r="J162" s="1767">
        <v>0</v>
      </c>
      <c r="K162" s="1767">
        <v>0</v>
      </c>
      <c r="L162" s="1767">
        <v>0</v>
      </c>
      <c r="M162" s="1767">
        <v>0</v>
      </c>
      <c r="N162" s="1767">
        <v>0</v>
      </c>
      <c r="O162" s="1767">
        <v>0</v>
      </c>
      <c r="P162" s="1767">
        <v>0</v>
      </c>
      <c r="Q162" s="1767">
        <v>0</v>
      </c>
      <c r="R162" s="1767">
        <v>0</v>
      </c>
      <c r="S162" s="1767">
        <v>0</v>
      </c>
      <c r="T162" s="1767">
        <v>0</v>
      </c>
      <c r="U162" s="1767">
        <v>0</v>
      </c>
      <c r="V162" s="1767">
        <v>0</v>
      </c>
      <c r="W162" s="1767">
        <v>0</v>
      </c>
      <c r="X162" s="1767">
        <v>0</v>
      </c>
      <c r="Y162" s="1767">
        <v>0</v>
      </c>
      <c r="Z162" s="1767">
        <v>0</v>
      </c>
      <c r="AA162" s="1767">
        <v>0</v>
      </c>
      <c r="AB162" s="1767">
        <v>0</v>
      </c>
      <c r="AC162" s="1767">
        <v>0</v>
      </c>
      <c r="AD162" s="1767">
        <v>0</v>
      </c>
      <c r="AE162" s="1767">
        <v>0</v>
      </c>
      <c r="AF162" s="1767">
        <v>0</v>
      </c>
      <c r="AG162" s="1767">
        <v>0</v>
      </c>
      <c r="AH162" s="1767">
        <v>0</v>
      </c>
      <c r="AI162" s="1767">
        <v>0</v>
      </c>
      <c r="AJ162" s="1767">
        <v>0</v>
      </c>
      <c r="AK162" s="1767">
        <v>0</v>
      </c>
      <c r="AL162" s="1767">
        <v>0</v>
      </c>
      <c r="AM162" s="1767">
        <v>0</v>
      </c>
      <c r="AN162" s="1767">
        <v>0</v>
      </c>
      <c r="AO162" s="1767">
        <v>0</v>
      </c>
      <c r="AP162" s="1767">
        <v>0</v>
      </c>
      <c r="AQ162" s="1767">
        <v>0</v>
      </c>
      <c r="AR162" s="1767">
        <v>0</v>
      </c>
      <c r="AS162" s="1767">
        <v>0</v>
      </c>
      <c r="AT162" s="1767">
        <v>0</v>
      </c>
      <c r="AU162" s="1767">
        <v>0</v>
      </c>
      <c r="AV162" s="1767">
        <v>0</v>
      </c>
      <c r="AW162" s="1767">
        <v>0</v>
      </c>
      <c r="AX162" s="1767">
        <v>0</v>
      </c>
      <c r="AY162" s="1767">
        <v>0</v>
      </c>
      <c r="AZ162" s="1767">
        <v>0</v>
      </c>
      <c r="BA162" s="1767">
        <v>0</v>
      </c>
      <c r="BB162" s="1767">
        <v>0</v>
      </c>
      <c r="BC162" s="1767">
        <v>0</v>
      </c>
      <c r="BD162" s="1767">
        <v>0</v>
      </c>
      <c r="BE162" s="1767">
        <v>0</v>
      </c>
      <c r="BF162" s="1767">
        <v>0</v>
      </c>
      <c r="BG162" s="1767">
        <v>0</v>
      </c>
      <c r="BH162" s="1767">
        <v>0</v>
      </c>
      <c r="BI162" s="1767">
        <v>0</v>
      </c>
      <c r="BJ162" s="1767">
        <v>0</v>
      </c>
      <c r="BK162" s="1767">
        <v>0</v>
      </c>
      <c r="BL162" s="1767">
        <v>0</v>
      </c>
      <c r="BM162" s="1767">
        <v>0</v>
      </c>
      <c r="BN162" s="1767">
        <v>0</v>
      </c>
      <c r="BO162" s="1767">
        <v>0</v>
      </c>
      <c r="BP162" s="1767">
        <v>0</v>
      </c>
      <c r="BQ162" s="1767">
        <v>0</v>
      </c>
      <c r="BR162" s="1767">
        <v>0</v>
      </c>
      <c r="BS162" s="1767">
        <v>0</v>
      </c>
      <c r="BT162" s="1767">
        <v>0</v>
      </c>
      <c r="BU162" s="1767">
        <v>0</v>
      </c>
      <c r="BV162" s="1767">
        <v>0</v>
      </c>
      <c r="BW162" s="1767">
        <v>0</v>
      </c>
      <c r="BX162" s="1767">
        <v>0</v>
      </c>
      <c r="BY162" s="1767">
        <v>0</v>
      </c>
      <c r="BZ162" s="1767">
        <v>0</v>
      </c>
      <c r="CA162" s="1767">
        <v>0</v>
      </c>
      <c r="CB162" s="1767">
        <v>0</v>
      </c>
      <c r="CC162" s="1767">
        <v>0</v>
      </c>
      <c r="CD162" s="1767">
        <v>0</v>
      </c>
      <c r="CE162" s="1767">
        <v>0</v>
      </c>
      <c r="CF162" s="1767">
        <v>0</v>
      </c>
      <c r="CG162" s="1767">
        <v>0</v>
      </c>
      <c r="CH162" s="1767">
        <v>0</v>
      </c>
      <c r="CI162" s="1767">
        <v>0</v>
      </c>
      <c r="CJ162" s="1767">
        <v>0</v>
      </c>
      <c r="CK162" s="1767">
        <v>0</v>
      </c>
      <c r="CL162" s="1767">
        <v>0</v>
      </c>
      <c r="CM162" s="1767">
        <v>0</v>
      </c>
      <c r="CN162" s="1767">
        <v>0</v>
      </c>
      <c r="CO162" s="1767">
        <v>0</v>
      </c>
      <c r="CP162" s="1767">
        <v>0</v>
      </c>
    </row>
    <row r="163" spans="1:94" ht="15" customHeight="1" x14ac:dyDescent="0.2">
      <c r="A163" s="1847"/>
      <c r="B163" s="1834"/>
      <c r="C163" s="663" t="s">
        <v>2280</v>
      </c>
      <c r="D163" s="936"/>
      <c r="E163" s="1837"/>
      <c r="F163" s="1225"/>
      <c r="G163" s="1767">
        <v>0</v>
      </c>
      <c r="H163" s="1767">
        <v>0</v>
      </c>
      <c r="I163" s="1767">
        <v>0</v>
      </c>
      <c r="J163" s="1767">
        <v>0</v>
      </c>
      <c r="K163" s="1767">
        <v>0</v>
      </c>
      <c r="L163" s="1767">
        <v>0</v>
      </c>
      <c r="M163" s="1767">
        <v>0</v>
      </c>
      <c r="N163" s="1767">
        <v>0</v>
      </c>
      <c r="O163" s="1767">
        <v>0</v>
      </c>
      <c r="P163" s="1767">
        <v>0</v>
      </c>
      <c r="Q163" s="1767">
        <v>0</v>
      </c>
      <c r="R163" s="1767">
        <v>0</v>
      </c>
      <c r="S163" s="1767">
        <v>0</v>
      </c>
      <c r="T163" s="1767">
        <v>0</v>
      </c>
      <c r="U163" s="1767">
        <v>0</v>
      </c>
      <c r="V163" s="1767">
        <v>0</v>
      </c>
      <c r="W163" s="1767">
        <v>0</v>
      </c>
      <c r="X163" s="1767">
        <v>0</v>
      </c>
      <c r="Y163" s="1767">
        <v>0</v>
      </c>
      <c r="Z163" s="1767">
        <v>0</v>
      </c>
      <c r="AA163" s="1767">
        <v>0</v>
      </c>
      <c r="AB163" s="1767">
        <v>0</v>
      </c>
      <c r="AC163" s="1767">
        <v>0</v>
      </c>
      <c r="AD163" s="1767">
        <v>0</v>
      </c>
      <c r="AE163" s="1767">
        <v>0</v>
      </c>
      <c r="AF163" s="1767">
        <v>0</v>
      </c>
      <c r="AG163" s="1767">
        <v>0</v>
      </c>
      <c r="AH163" s="1767">
        <v>0</v>
      </c>
      <c r="AI163" s="1767">
        <v>0</v>
      </c>
      <c r="AJ163" s="1767">
        <v>0</v>
      </c>
      <c r="AK163" s="1767">
        <v>0</v>
      </c>
      <c r="AL163" s="1767">
        <v>0</v>
      </c>
      <c r="AM163" s="1767">
        <v>0</v>
      </c>
      <c r="AN163" s="1767">
        <v>0</v>
      </c>
      <c r="AO163" s="1767">
        <v>0</v>
      </c>
      <c r="AP163" s="1767">
        <v>0</v>
      </c>
      <c r="AQ163" s="1767">
        <v>0</v>
      </c>
      <c r="AR163" s="1767">
        <v>0</v>
      </c>
      <c r="AS163" s="1767">
        <v>0</v>
      </c>
      <c r="AT163" s="1767">
        <v>0</v>
      </c>
      <c r="AU163" s="1767">
        <v>0</v>
      </c>
      <c r="AV163" s="1767">
        <v>0</v>
      </c>
      <c r="AW163" s="1767">
        <v>0</v>
      </c>
      <c r="AX163" s="1767">
        <v>0</v>
      </c>
      <c r="AY163" s="1767">
        <v>0</v>
      </c>
      <c r="AZ163" s="1767">
        <v>0</v>
      </c>
      <c r="BA163" s="1767">
        <v>0</v>
      </c>
      <c r="BB163" s="1767">
        <v>0</v>
      </c>
      <c r="BC163" s="1767">
        <v>0</v>
      </c>
      <c r="BD163" s="1767">
        <v>0</v>
      </c>
      <c r="BE163" s="1767">
        <v>0</v>
      </c>
      <c r="BF163" s="1767">
        <v>0</v>
      </c>
      <c r="BG163" s="1767">
        <v>0</v>
      </c>
      <c r="BH163" s="1767">
        <v>0</v>
      </c>
      <c r="BI163" s="1767">
        <v>0</v>
      </c>
      <c r="BJ163" s="1767">
        <v>0</v>
      </c>
      <c r="BK163" s="1767">
        <v>0</v>
      </c>
      <c r="BL163" s="1767">
        <v>0</v>
      </c>
      <c r="BM163" s="1767">
        <v>0</v>
      </c>
      <c r="BN163" s="1767">
        <v>0</v>
      </c>
      <c r="BO163" s="1767">
        <v>0</v>
      </c>
      <c r="BP163" s="1767">
        <v>0</v>
      </c>
      <c r="BQ163" s="1767">
        <v>0</v>
      </c>
      <c r="BR163" s="1767">
        <v>0</v>
      </c>
      <c r="BS163" s="1767">
        <v>0</v>
      </c>
      <c r="BT163" s="1767">
        <v>0</v>
      </c>
      <c r="BU163" s="1767">
        <v>0</v>
      </c>
      <c r="BV163" s="1767">
        <v>0</v>
      </c>
      <c r="BW163" s="1767">
        <v>0</v>
      </c>
      <c r="BX163" s="1767">
        <v>0</v>
      </c>
      <c r="BY163" s="1767">
        <v>0</v>
      </c>
      <c r="BZ163" s="1767">
        <v>0</v>
      </c>
      <c r="CA163" s="1767">
        <v>0</v>
      </c>
      <c r="CB163" s="1767">
        <v>0</v>
      </c>
      <c r="CC163" s="1767">
        <v>0</v>
      </c>
      <c r="CD163" s="1767">
        <v>0</v>
      </c>
      <c r="CE163" s="1767">
        <v>0</v>
      </c>
      <c r="CF163" s="1767">
        <v>0</v>
      </c>
      <c r="CG163" s="1767">
        <v>0</v>
      </c>
      <c r="CH163" s="1767">
        <v>0</v>
      </c>
      <c r="CI163" s="1767">
        <v>0</v>
      </c>
      <c r="CJ163" s="1767">
        <v>0</v>
      </c>
      <c r="CK163" s="1767">
        <v>0</v>
      </c>
      <c r="CL163" s="1767">
        <v>0</v>
      </c>
      <c r="CM163" s="1767">
        <v>0</v>
      </c>
      <c r="CN163" s="1767">
        <v>0</v>
      </c>
      <c r="CO163" s="1767">
        <v>0</v>
      </c>
      <c r="CP163" s="1767">
        <v>0</v>
      </c>
    </row>
    <row r="164" spans="1:94" ht="15" customHeight="1" thickBot="1" x14ac:dyDescent="0.25">
      <c r="A164" s="1897"/>
      <c r="B164" s="1835"/>
      <c r="C164" s="657" t="s">
        <v>1696</v>
      </c>
      <c r="D164" s="936"/>
      <c r="E164" s="1838"/>
      <c r="F164" s="1225"/>
      <c r="G164" s="1767">
        <v>0</v>
      </c>
      <c r="H164" s="1767">
        <v>0</v>
      </c>
      <c r="I164" s="1767">
        <v>0</v>
      </c>
      <c r="J164" s="1767">
        <v>0</v>
      </c>
      <c r="K164" s="1767">
        <v>0</v>
      </c>
      <c r="L164" s="1767">
        <v>0</v>
      </c>
      <c r="M164" s="1767">
        <v>0</v>
      </c>
      <c r="N164" s="1767">
        <v>0</v>
      </c>
      <c r="O164" s="1767">
        <v>0</v>
      </c>
      <c r="P164" s="1767">
        <v>0</v>
      </c>
      <c r="Q164" s="1767">
        <v>0</v>
      </c>
      <c r="R164" s="1767">
        <v>0</v>
      </c>
      <c r="S164" s="1767">
        <v>0</v>
      </c>
      <c r="T164" s="1767">
        <v>0</v>
      </c>
      <c r="U164" s="1767">
        <v>0</v>
      </c>
      <c r="V164" s="1767">
        <v>0</v>
      </c>
      <c r="W164" s="1767">
        <v>0</v>
      </c>
      <c r="X164" s="1767">
        <v>0</v>
      </c>
      <c r="Y164" s="1767">
        <v>0</v>
      </c>
      <c r="Z164" s="1767">
        <v>0</v>
      </c>
      <c r="AA164" s="1767">
        <v>0</v>
      </c>
      <c r="AB164" s="1767">
        <v>0</v>
      </c>
      <c r="AC164" s="1767">
        <v>0</v>
      </c>
      <c r="AD164" s="1767">
        <v>0</v>
      </c>
      <c r="AE164" s="1767">
        <v>0</v>
      </c>
      <c r="AF164" s="1767">
        <v>0</v>
      </c>
      <c r="AG164" s="1767">
        <v>0</v>
      </c>
      <c r="AH164" s="1767">
        <v>0</v>
      </c>
      <c r="AI164" s="1767">
        <v>0</v>
      </c>
      <c r="AJ164" s="1767">
        <v>0</v>
      </c>
      <c r="AK164" s="1767">
        <v>0</v>
      </c>
      <c r="AL164" s="1767">
        <v>0</v>
      </c>
      <c r="AM164" s="1767">
        <v>0</v>
      </c>
      <c r="AN164" s="1767">
        <v>0</v>
      </c>
      <c r="AO164" s="1767">
        <v>0</v>
      </c>
      <c r="AP164" s="1767">
        <v>0</v>
      </c>
      <c r="AQ164" s="1767">
        <v>0</v>
      </c>
      <c r="AR164" s="1767">
        <v>0</v>
      </c>
      <c r="AS164" s="1767">
        <v>0</v>
      </c>
      <c r="AT164" s="1767">
        <v>0</v>
      </c>
      <c r="AU164" s="1767">
        <v>0</v>
      </c>
      <c r="AV164" s="1767">
        <v>0</v>
      </c>
      <c r="AW164" s="1767">
        <v>0</v>
      </c>
      <c r="AX164" s="1767">
        <v>0</v>
      </c>
      <c r="AY164" s="1767">
        <v>0</v>
      </c>
      <c r="AZ164" s="1767">
        <v>0</v>
      </c>
      <c r="BA164" s="1767">
        <v>0</v>
      </c>
      <c r="BB164" s="1767">
        <v>0</v>
      </c>
      <c r="BC164" s="1767">
        <v>0</v>
      </c>
      <c r="BD164" s="1767">
        <v>0</v>
      </c>
      <c r="BE164" s="1767">
        <v>0</v>
      </c>
      <c r="BF164" s="1767">
        <v>0</v>
      </c>
      <c r="BG164" s="1767">
        <v>0</v>
      </c>
      <c r="BH164" s="1767">
        <v>0</v>
      </c>
      <c r="BI164" s="1767">
        <v>0</v>
      </c>
      <c r="BJ164" s="1767">
        <v>0</v>
      </c>
      <c r="BK164" s="1767">
        <v>0</v>
      </c>
      <c r="BL164" s="1767">
        <v>0</v>
      </c>
      <c r="BM164" s="1767">
        <v>0</v>
      </c>
      <c r="BN164" s="1767">
        <v>0</v>
      </c>
      <c r="BO164" s="1767">
        <v>0</v>
      </c>
      <c r="BP164" s="1767">
        <v>0</v>
      </c>
      <c r="BQ164" s="1767">
        <v>0</v>
      </c>
      <c r="BR164" s="1767">
        <v>0</v>
      </c>
      <c r="BS164" s="1767">
        <v>0</v>
      </c>
      <c r="BT164" s="1767">
        <v>0</v>
      </c>
      <c r="BU164" s="1767">
        <v>0</v>
      </c>
      <c r="BV164" s="1767">
        <v>0</v>
      </c>
      <c r="BW164" s="1767">
        <v>0</v>
      </c>
      <c r="BX164" s="1767">
        <v>0</v>
      </c>
      <c r="BY164" s="1767">
        <v>0</v>
      </c>
      <c r="BZ164" s="1767">
        <v>0</v>
      </c>
      <c r="CA164" s="1767">
        <v>0</v>
      </c>
      <c r="CB164" s="1767">
        <v>0</v>
      </c>
      <c r="CC164" s="1767">
        <v>0</v>
      </c>
      <c r="CD164" s="1767">
        <v>0</v>
      </c>
      <c r="CE164" s="1767">
        <v>0</v>
      </c>
      <c r="CF164" s="1767">
        <v>0</v>
      </c>
      <c r="CG164" s="1767">
        <v>0</v>
      </c>
      <c r="CH164" s="1767">
        <v>0</v>
      </c>
      <c r="CI164" s="1767">
        <v>0</v>
      </c>
      <c r="CJ164" s="1767">
        <v>0</v>
      </c>
      <c r="CK164" s="1767">
        <v>0</v>
      </c>
      <c r="CL164" s="1767">
        <v>0</v>
      </c>
      <c r="CM164" s="1767">
        <v>0</v>
      </c>
      <c r="CN164" s="1767">
        <v>0</v>
      </c>
      <c r="CO164" s="1767">
        <v>0</v>
      </c>
      <c r="CP164" s="1767">
        <v>0</v>
      </c>
    </row>
    <row r="165" spans="1:94" ht="39.75" customHeight="1" thickBot="1" x14ac:dyDescent="0.25">
      <c r="A165" s="1888" t="s">
        <v>1306</v>
      </c>
      <c r="B165" s="1833" t="s">
        <v>855</v>
      </c>
      <c r="C165" s="1779" t="s">
        <v>2524</v>
      </c>
      <c r="D165" s="947"/>
      <c r="E165" s="1836" t="s">
        <v>2320</v>
      </c>
      <c r="F165" s="1225"/>
      <c r="G165" s="1742"/>
      <c r="H165" s="1742"/>
      <c r="I165" s="1742"/>
      <c r="J165" s="1742"/>
      <c r="K165" s="1742"/>
      <c r="L165" s="1742"/>
      <c r="M165" s="1742"/>
      <c r="N165" s="1742"/>
      <c r="O165" s="1742"/>
      <c r="P165" s="1742"/>
      <c r="Q165" s="1742"/>
      <c r="R165" s="1742"/>
      <c r="S165" s="1742"/>
      <c r="T165" s="1742"/>
      <c r="U165" s="1742"/>
      <c r="V165" s="1742"/>
      <c r="W165" s="1742"/>
      <c r="X165" s="1742"/>
      <c r="Y165" s="1742"/>
      <c r="Z165" s="1742"/>
      <c r="AA165" s="1742"/>
      <c r="AB165" s="1742"/>
      <c r="AC165" s="1742"/>
      <c r="AD165" s="1742"/>
      <c r="AE165" s="1742"/>
      <c r="AF165" s="1742"/>
      <c r="AG165" s="1742"/>
      <c r="AH165" s="1742"/>
      <c r="AI165" s="1742"/>
      <c r="AJ165" s="1742"/>
      <c r="AK165" s="1742"/>
      <c r="AL165" s="1742"/>
      <c r="AM165" s="1742"/>
      <c r="AN165" s="1742"/>
      <c r="AO165" s="1742"/>
      <c r="AP165" s="1742"/>
      <c r="AQ165" s="1742"/>
      <c r="AR165" s="1742"/>
      <c r="AS165" s="1742"/>
      <c r="AT165" s="1742"/>
      <c r="AU165" s="1742"/>
      <c r="AV165" s="1742"/>
      <c r="AW165" s="1742"/>
      <c r="AX165" s="1742"/>
      <c r="AY165" s="1742"/>
      <c r="AZ165" s="1742"/>
      <c r="BA165" s="1742"/>
      <c r="BB165" s="1742"/>
      <c r="BC165" s="1742"/>
      <c r="BD165" s="1742"/>
      <c r="BE165" s="1742"/>
      <c r="BF165" s="1742"/>
      <c r="BG165" s="1742"/>
      <c r="BH165" s="1742"/>
      <c r="BI165" s="1742"/>
      <c r="BJ165" s="1742"/>
      <c r="BK165" s="1742"/>
      <c r="BL165" s="1742"/>
      <c r="BM165" s="1742"/>
      <c r="BN165" s="1742"/>
      <c r="BO165" s="1742"/>
      <c r="BP165" s="1742"/>
      <c r="BQ165" s="1742"/>
      <c r="BR165" s="1742"/>
      <c r="BS165" s="1742"/>
      <c r="BT165" s="1742"/>
      <c r="BU165" s="1742"/>
      <c r="BV165" s="1742"/>
      <c r="BW165" s="1742"/>
      <c r="BX165" s="1742"/>
      <c r="BY165" s="1742"/>
      <c r="BZ165" s="1742"/>
      <c r="CA165" s="1742"/>
      <c r="CB165" s="1742"/>
      <c r="CC165" s="1742"/>
      <c r="CD165" s="1742"/>
      <c r="CE165" s="1742"/>
      <c r="CF165" s="1742"/>
      <c r="CG165" s="1742"/>
      <c r="CH165" s="1742"/>
      <c r="CI165" s="1742"/>
      <c r="CJ165" s="1742"/>
      <c r="CK165" s="1742"/>
      <c r="CL165" s="1742"/>
      <c r="CM165" s="1742"/>
      <c r="CN165" s="1742"/>
      <c r="CO165" s="1742"/>
      <c r="CP165" s="1742"/>
    </row>
    <row r="166" spans="1:94" ht="18.75" customHeight="1" x14ac:dyDescent="0.2">
      <c r="A166" s="1847"/>
      <c r="B166" s="1834"/>
      <c r="C166" s="649" t="s">
        <v>2361</v>
      </c>
      <c r="D166" s="936"/>
      <c r="E166" s="1837"/>
      <c r="F166" s="1225"/>
      <c r="G166" s="1767">
        <v>0</v>
      </c>
      <c r="H166" s="1767">
        <v>0</v>
      </c>
      <c r="I166" s="1767">
        <v>0</v>
      </c>
      <c r="J166" s="1767">
        <v>0</v>
      </c>
      <c r="K166" s="1767">
        <v>0</v>
      </c>
      <c r="L166" s="1767">
        <v>0</v>
      </c>
      <c r="M166" s="1767">
        <v>0</v>
      </c>
      <c r="N166" s="1767">
        <v>0</v>
      </c>
      <c r="O166" s="1767">
        <v>0</v>
      </c>
      <c r="P166" s="1767">
        <v>0</v>
      </c>
      <c r="Q166" s="1767">
        <v>0</v>
      </c>
      <c r="R166" s="1767">
        <v>0</v>
      </c>
      <c r="S166" s="1767">
        <v>0</v>
      </c>
      <c r="T166" s="1767">
        <v>0</v>
      </c>
      <c r="U166" s="1767">
        <v>0</v>
      </c>
      <c r="V166" s="1767">
        <v>0</v>
      </c>
      <c r="W166" s="1767">
        <v>0</v>
      </c>
      <c r="X166" s="1767">
        <v>0</v>
      </c>
      <c r="Y166" s="1767">
        <v>0</v>
      </c>
      <c r="Z166" s="1767">
        <v>0</v>
      </c>
      <c r="AA166" s="1767">
        <v>0</v>
      </c>
      <c r="AB166" s="1767">
        <v>0</v>
      </c>
      <c r="AC166" s="1767">
        <v>0</v>
      </c>
      <c r="AD166" s="1767">
        <v>0</v>
      </c>
      <c r="AE166" s="1767">
        <v>0</v>
      </c>
      <c r="AF166" s="1767">
        <v>0</v>
      </c>
      <c r="AG166" s="1767">
        <v>0</v>
      </c>
      <c r="AH166" s="1767">
        <v>0</v>
      </c>
      <c r="AI166" s="1767">
        <v>0</v>
      </c>
      <c r="AJ166" s="1767">
        <v>0</v>
      </c>
      <c r="AK166" s="1767">
        <v>0</v>
      </c>
      <c r="AL166" s="1767">
        <v>0</v>
      </c>
      <c r="AM166" s="1767">
        <v>0</v>
      </c>
      <c r="AN166" s="1767">
        <v>0</v>
      </c>
      <c r="AO166" s="1767">
        <v>0</v>
      </c>
      <c r="AP166" s="1767">
        <v>0</v>
      </c>
      <c r="AQ166" s="1767">
        <v>0</v>
      </c>
      <c r="AR166" s="1767">
        <v>0</v>
      </c>
      <c r="AS166" s="1767">
        <v>0</v>
      </c>
      <c r="AT166" s="1767">
        <v>0</v>
      </c>
      <c r="AU166" s="1767">
        <v>0</v>
      </c>
      <c r="AV166" s="1767">
        <v>0</v>
      </c>
      <c r="AW166" s="1767">
        <v>0</v>
      </c>
      <c r="AX166" s="1767">
        <v>0</v>
      </c>
      <c r="AY166" s="1767">
        <v>0</v>
      </c>
      <c r="AZ166" s="1767">
        <v>0</v>
      </c>
      <c r="BA166" s="1767">
        <v>0</v>
      </c>
      <c r="BB166" s="1767">
        <v>0</v>
      </c>
      <c r="BC166" s="1767">
        <v>0</v>
      </c>
      <c r="BD166" s="1767">
        <v>0</v>
      </c>
      <c r="BE166" s="1767">
        <v>0</v>
      </c>
      <c r="BF166" s="1767">
        <v>0</v>
      </c>
      <c r="BG166" s="1767">
        <v>0</v>
      </c>
      <c r="BH166" s="1767">
        <v>0</v>
      </c>
      <c r="BI166" s="1767">
        <v>0</v>
      </c>
      <c r="BJ166" s="1767">
        <v>0</v>
      </c>
      <c r="BK166" s="1767">
        <v>0</v>
      </c>
      <c r="BL166" s="1767">
        <v>0</v>
      </c>
      <c r="BM166" s="1767">
        <v>0</v>
      </c>
      <c r="BN166" s="1767">
        <v>0</v>
      </c>
      <c r="BO166" s="1767">
        <v>0</v>
      </c>
      <c r="BP166" s="1767">
        <v>0</v>
      </c>
      <c r="BQ166" s="1767">
        <v>0</v>
      </c>
      <c r="BR166" s="1767">
        <v>0</v>
      </c>
      <c r="BS166" s="1767">
        <v>0</v>
      </c>
      <c r="BT166" s="1767">
        <v>0</v>
      </c>
      <c r="BU166" s="1767">
        <v>0</v>
      </c>
      <c r="BV166" s="1767">
        <v>0</v>
      </c>
      <c r="BW166" s="1767">
        <v>0</v>
      </c>
      <c r="BX166" s="1767">
        <v>0</v>
      </c>
      <c r="BY166" s="1767">
        <v>0</v>
      </c>
      <c r="BZ166" s="1767">
        <v>0</v>
      </c>
      <c r="CA166" s="1767">
        <v>0</v>
      </c>
      <c r="CB166" s="1767">
        <v>0</v>
      </c>
      <c r="CC166" s="1767">
        <v>0</v>
      </c>
      <c r="CD166" s="1767">
        <v>0</v>
      </c>
      <c r="CE166" s="1767">
        <v>0</v>
      </c>
      <c r="CF166" s="1767">
        <v>0</v>
      </c>
      <c r="CG166" s="1767">
        <v>0</v>
      </c>
      <c r="CH166" s="1767">
        <v>0</v>
      </c>
      <c r="CI166" s="1767">
        <v>0</v>
      </c>
      <c r="CJ166" s="1767">
        <v>0</v>
      </c>
      <c r="CK166" s="1767">
        <v>0</v>
      </c>
      <c r="CL166" s="1767">
        <v>0</v>
      </c>
      <c r="CM166" s="1767">
        <v>0</v>
      </c>
      <c r="CN166" s="1767">
        <v>0</v>
      </c>
      <c r="CO166" s="1767">
        <v>0</v>
      </c>
      <c r="CP166" s="1767">
        <v>0</v>
      </c>
    </row>
    <row r="167" spans="1:94" ht="15" customHeight="1" x14ac:dyDescent="0.2">
      <c r="A167" s="1847"/>
      <c r="B167" s="1834"/>
      <c r="C167" s="663" t="s">
        <v>1698</v>
      </c>
      <c r="D167" s="936"/>
      <c r="E167" s="1837"/>
      <c r="F167" s="1225"/>
      <c r="G167" s="1767">
        <v>0</v>
      </c>
      <c r="H167" s="1767">
        <v>0</v>
      </c>
      <c r="I167" s="1767">
        <v>0</v>
      </c>
      <c r="J167" s="1767">
        <v>0</v>
      </c>
      <c r="K167" s="1767">
        <v>0</v>
      </c>
      <c r="L167" s="1767">
        <v>0</v>
      </c>
      <c r="M167" s="1767">
        <v>0</v>
      </c>
      <c r="N167" s="1767">
        <v>0</v>
      </c>
      <c r="O167" s="1767">
        <v>0</v>
      </c>
      <c r="P167" s="1767">
        <v>0</v>
      </c>
      <c r="Q167" s="1767">
        <v>0</v>
      </c>
      <c r="R167" s="1767">
        <v>0</v>
      </c>
      <c r="S167" s="1767">
        <v>0</v>
      </c>
      <c r="T167" s="1767">
        <v>0</v>
      </c>
      <c r="U167" s="1767">
        <v>0</v>
      </c>
      <c r="V167" s="1767">
        <v>0</v>
      </c>
      <c r="W167" s="1767">
        <v>0</v>
      </c>
      <c r="X167" s="1767">
        <v>0</v>
      </c>
      <c r="Y167" s="1767">
        <v>0</v>
      </c>
      <c r="Z167" s="1767">
        <v>0</v>
      </c>
      <c r="AA167" s="1767">
        <v>0</v>
      </c>
      <c r="AB167" s="1767">
        <v>0</v>
      </c>
      <c r="AC167" s="1767">
        <v>0</v>
      </c>
      <c r="AD167" s="1767">
        <v>0</v>
      </c>
      <c r="AE167" s="1767">
        <v>0</v>
      </c>
      <c r="AF167" s="1767">
        <v>0</v>
      </c>
      <c r="AG167" s="1767">
        <v>0</v>
      </c>
      <c r="AH167" s="1767">
        <v>0</v>
      </c>
      <c r="AI167" s="1767">
        <v>0</v>
      </c>
      <c r="AJ167" s="1767">
        <v>0</v>
      </c>
      <c r="AK167" s="1767">
        <v>0</v>
      </c>
      <c r="AL167" s="1767">
        <v>0</v>
      </c>
      <c r="AM167" s="1767">
        <v>0</v>
      </c>
      <c r="AN167" s="1767">
        <v>0</v>
      </c>
      <c r="AO167" s="1767">
        <v>0</v>
      </c>
      <c r="AP167" s="1767">
        <v>0</v>
      </c>
      <c r="AQ167" s="1767">
        <v>0</v>
      </c>
      <c r="AR167" s="1767">
        <v>0</v>
      </c>
      <c r="AS167" s="1767">
        <v>0</v>
      </c>
      <c r="AT167" s="1767">
        <v>0</v>
      </c>
      <c r="AU167" s="1767">
        <v>0</v>
      </c>
      <c r="AV167" s="1767">
        <v>0</v>
      </c>
      <c r="AW167" s="1767">
        <v>0</v>
      </c>
      <c r="AX167" s="1767">
        <v>0</v>
      </c>
      <c r="AY167" s="1767">
        <v>0</v>
      </c>
      <c r="AZ167" s="1767">
        <v>0</v>
      </c>
      <c r="BA167" s="1767">
        <v>0</v>
      </c>
      <c r="BB167" s="1767">
        <v>0</v>
      </c>
      <c r="BC167" s="1767">
        <v>0</v>
      </c>
      <c r="BD167" s="1767">
        <v>0</v>
      </c>
      <c r="BE167" s="1767">
        <v>0</v>
      </c>
      <c r="BF167" s="1767">
        <v>0</v>
      </c>
      <c r="BG167" s="1767">
        <v>0</v>
      </c>
      <c r="BH167" s="1767">
        <v>0</v>
      </c>
      <c r="BI167" s="1767">
        <v>0</v>
      </c>
      <c r="BJ167" s="1767">
        <v>0</v>
      </c>
      <c r="BK167" s="1767">
        <v>0</v>
      </c>
      <c r="BL167" s="1767">
        <v>0</v>
      </c>
      <c r="BM167" s="1767">
        <v>0</v>
      </c>
      <c r="BN167" s="1767">
        <v>0</v>
      </c>
      <c r="BO167" s="1767">
        <v>0</v>
      </c>
      <c r="BP167" s="1767">
        <v>0</v>
      </c>
      <c r="BQ167" s="1767">
        <v>0</v>
      </c>
      <c r="BR167" s="1767">
        <v>0</v>
      </c>
      <c r="BS167" s="1767">
        <v>0</v>
      </c>
      <c r="BT167" s="1767">
        <v>0</v>
      </c>
      <c r="BU167" s="1767">
        <v>0</v>
      </c>
      <c r="BV167" s="1767">
        <v>0</v>
      </c>
      <c r="BW167" s="1767">
        <v>0</v>
      </c>
      <c r="BX167" s="1767">
        <v>0</v>
      </c>
      <c r="BY167" s="1767">
        <v>0</v>
      </c>
      <c r="BZ167" s="1767">
        <v>0</v>
      </c>
      <c r="CA167" s="1767">
        <v>0</v>
      </c>
      <c r="CB167" s="1767">
        <v>0</v>
      </c>
      <c r="CC167" s="1767">
        <v>0</v>
      </c>
      <c r="CD167" s="1767">
        <v>0</v>
      </c>
      <c r="CE167" s="1767">
        <v>0</v>
      </c>
      <c r="CF167" s="1767">
        <v>0</v>
      </c>
      <c r="CG167" s="1767">
        <v>0</v>
      </c>
      <c r="CH167" s="1767">
        <v>0</v>
      </c>
      <c r="CI167" s="1767">
        <v>0</v>
      </c>
      <c r="CJ167" s="1767">
        <v>0</v>
      </c>
      <c r="CK167" s="1767">
        <v>0</v>
      </c>
      <c r="CL167" s="1767">
        <v>0</v>
      </c>
      <c r="CM167" s="1767">
        <v>0</v>
      </c>
      <c r="CN167" s="1767">
        <v>0</v>
      </c>
      <c r="CO167" s="1767">
        <v>0</v>
      </c>
      <c r="CP167" s="1767">
        <v>0</v>
      </c>
    </row>
    <row r="168" spans="1:94" ht="15" customHeight="1" x14ac:dyDescent="0.2">
      <c r="A168" s="1847"/>
      <c r="B168" s="1834"/>
      <c r="C168" s="663" t="s">
        <v>2122</v>
      </c>
      <c r="D168" s="936"/>
      <c r="E168" s="1837"/>
      <c r="F168" s="1225"/>
      <c r="G168" s="1767">
        <v>0</v>
      </c>
      <c r="H168" s="1767">
        <v>0</v>
      </c>
      <c r="I168" s="1767">
        <v>0</v>
      </c>
      <c r="J168" s="1767">
        <v>0</v>
      </c>
      <c r="K168" s="1767">
        <v>0</v>
      </c>
      <c r="L168" s="1767">
        <v>0</v>
      </c>
      <c r="M168" s="1767">
        <v>0</v>
      </c>
      <c r="N168" s="1767">
        <v>0</v>
      </c>
      <c r="O168" s="1767">
        <v>0</v>
      </c>
      <c r="P168" s="1767">
        <v>0</v>
      </c>
      <c r="Q168" s="1767">
        <v>0</v>
      </c>
      <c r="R168" s="1767">
        <v>0</v>
      </c>
      <c r="S168" s="1767">
        <v>0</v>
      </c>
      <c r="T168" s="1767">
        <v>0</v>
      </c>
      <c r="U168" s="1767">
        <v>0</v>
      </c>
      <c r="V168" s="1767">
        <v>0</v>
      </c>
      <c r="W168" s="1767">
        <v>0</v>
      </c>
      <c r="X168" s="1767">
        <v>0</v>
      </c>
      <c r="Y168" s="1767">
        <v>0</v>
      </c>
      <c r="Z168" s="1767">
        <v>0</v>
      </c>
      <c r="AA168" s="1767">
        <v>0</v>
      </c>
      <c r="AB168" s="1767">
        <v>0</v>
      </c>
      <c r="AC168" s="1767">
        <v>0</v>
      </c>
      <c r="AD168" s="1767">
        <v>0</v>
      </c>
      <c r="AE168" s="1767">
        <v>0</v>
      </c>
      <c r="AF168" s="1767">
        <v>0</v>
      </c>
      <c r="AG168" s="1767">
        <v>0</v>
      </c>
      <c r="AH168" s="1767">
        <v>0</v>
      </c>
      <c r="AI168" s="1767">
        <v>0</v>
      </c>
      <c r="AJ168" s="1767">
        <v>0</v>
      </c>
      <c r="AK168" s="1767">
        <v>0</v>
      </c>
      <c r="AL168" s="1767">
        <v>0</v>
      </c>
      <c r="AM168" s="1767">
        <v>0</v>
      </c>
      <c r="AN168" s="1767">
        <v>0</v>
      </c>
      <c r="AO168" s="1767">
        <v>0</v>
      </c>
      <c r="AP168" s="1767">
        <v>0</v>
      </c>
      <c r="AQ168" s="1767">
        <v>0</v>
      </c>
      <c r="AR168" s="1767">
        <v>0</v>
      </c>
      <c r="AS168" s="1767">
        <v>0</v>
      </c>
      <c r="AT168" s="1767">
        <v>0</v>
      </c>
      <c r="AU168" s="1767">
        <v>0</v>
      </c>
      <c r="AV168" s="1767">
        <v>0</v>
      </c>
      <c r="AW168" s="1767">
        <v>0</v>
      </c>
      <c r="AX168" s="1767">
        <v>0</v>
      </c>
      <c r="AY168" s="1767">
        <v>0</v>
      </c>
      <c r="AZ168" s="1767">
        <v>0</v>
      </c>
      <c r="BA168" s="1767">
        <v>0</v>
      </c>
      <c r="BB168" s="1767">
        <v>0</v>
      </c>
      <c r="BC168" s="1767">
        <v>0</v>
      </c>
      <c r="BD168" s="1767">
        <v>0</v>
      </c>
      <c r="BE168" s="1767">
        <v>0</v>
      </c>
      <c r="BF168" s="1767">
        <v>0</v>
      </c>
      <c r="BG168" s="1767">
        <v>0</v>
      </c>
      <c r="BH168" s="1767">
        <v>0</v>
      </c>
      <c r="BI168" s="1767">
        <v>0</v>
      </c>
      <c r="BJ168" s="1767">
        <v>0</v>
      </c>
      <c r="BK168" s="1767">
        <v>0</v>
      </c>
      <c r="BL168" s="1767">
        <v>0</v>
      </c>
      <c r="BM168" s="1767">
        <v>0</v>
      </c>
      <c r="BN168" s="1767">
        <v>0</v>
      </c>
      <c r="BO168" s="1767">
        <v>0</v>
      </c>
      <c r="BP168" s="1767">
        <v>0</v>
      </c>
      <c r="BQ168" s="1767">
        <v>0</v>
      </c>
      <c r="BR168" s="1767">
        <v>0</v>
      </c>
      <c r="BS168" s="1767">
        <v>0</v>
      </c>
      <c r="BT168" s="1767">
        <v>0</v>
      </c>
      <c r="BU168" s="1767">
        <v>0</v>
      </c>
      <c r="BV168" s="1767">
        <v>0</v>
      </c>
      <c r="BW168" s="1767">
        <v>0</v>
      </c>
      <c r="BX168" s="1767">
        <v>0</v>
      </c>
      <c r="BY168" s="1767">
        <v>0</v>
      </c>
      <c r="BZ168" s="1767">
        <v>0</v>
      </c>
      <c r="CA168" s="1767">
        <v>0</v>
      </c>
      <c r="CB168" s="1767">
        <v>0</v>
      </c>
      <c r="CC168" s="1767">
        <v>0</v>
      </c>
      <c r="CD168" s="1767">
        <v>0</v>
      </c>
      <c r="CE168" s="1767">
        <v>0</v>
      </c>
      <c r="CF168" s="1767">
        <v>0</v>
      </c>
      <c r="CG168" s="1767">
        <v>0</v>
      </c>
      <c r="CH168" s="1767">
        <v>0</v>
      </c>
      <c r="CI168" s="1767">
        <v>0</v>
      </c>
      <c r="CJ168" s="1767">
        <v>0</v>
      </c>
      <c r="CK168" s="1767">
        <v>0</v>
      </c>
      <c r="CL168" s="1767">
        <v>0</v>
      </c>
      <c r="CM168" s="1767">
        <v>0</v>
      </c>
      <c r="CN168" s="1767">
        <v>0</v>
      </c>
      <c r="CO168" s="1767">
        <v>0</v>
      </c>
      <c r="CP168" s="1767">
        <v>0</v>
      </c>
    </row>
    <row r="169" spans="1:94" ht="15" customHeight="1" x14ac:dyDescent="0.2">
      <c r="A169" s="1847"/>
      <c r="B169" s="1834"/>
      <c r="C169" s="663" t="s">
        <v>2123</v>
      </c>
      <c r="D169" s="936"/>
      <c r="E169" s="1837"/>
      <c r="F169" s="1225"/>
      <c r="G169" s="1767">
        <v>0</v>
      </c>
      <c r="H169" s="1767">
        <v>0</v>
      </c>
      <c r="I169" s="1767">
        <v>0</v>
      </c>
      <c r="J169" s="1767">
        <v>0</v>
      </c>
      <c r="K169" s="1767">
        <v>0</v>
      </c>
      <c r="L169" s="1767">
        <v>0</v>
      </c>
      <c r="M169" s="1767">
        <v>0</v>
      </c>
      <c r="N169" s="1767">
        <v>0</v>
      </c>
      <c r="O169" s="1767">
        <v>0</v>
      </c>
      <c r="P169" s="1767">
        <v>0</v>
      </c>
      <c r="Q169" s="1767">
        <v>0</v>
      </c>
      <c r="R169" s="1767">
        <v>0</v>
      </c>
      <c r="S169" s="1767">
        <v>0</v>
      </c>
      <c r="T169" s="1767">
        <v>0</v>
      </c>
      <c r="U169" s="1767">
        <v>0</v>
      </c>
      <c r="V169" s="1767">
        <v>0</v>
      </c>
      <c r="W169" s="1767">
        <v>0</v>
      </c>
      <c r="X169" s="1767">
        <v>0</v>
      </c>
      <c r="Y169" s="1767">
        <v>0</v>
      </c>
      <c r="Z169" s="1767">
        <v>0</v>
      </c>
      <c r="AA169" s="1767">
        <v>0</v>
      </c>
      <c r="AB169" s="1767">
        <v>0</v>
      </c>
      <c r="AC169" s="1767">
        <v>0</v>
      </c>
      <c r="AD169" s="1767">
        <v>0</v>
      </c>
      <c r="AE169" s="1767">
        <v>0</v>
      </c>
      <c r="AF169" s="1767">
        <v>0</v>
      </c>
      <c r="AG169" s="1767">
        <v>0</v>
      </c>
      <c r="AH169" s="1767">
        <v>0</v>
      </c>
      <c r="AI169" s="1767">
        <v>0</v>
      </c>
      <c r="AJ169" s="1767">
        <v>0</v>
      </c>
      <c r="AK169" s="1767">
        <v>0</v>
      </c>
      <c r="AL169" s="1767">
        <v>0</v>
      </c>
      <c r="AM169" s="1767">
        <v>0</v>
      </c>
      <c r="AN169" s="1767">
        <v>0</v>
      </c>
      <c r="AO169" s="1767">
        <v>0</v>
      </c>
      <c r="AP169" s="1767">
        <v>0</v>
      </c>
      <c r="AQ169" s="1767">
        <v>0</v>
      </c>
      <c r="AR169" s="1767">
        <v>0</v>
      </c>
      <c r="AS169" s="1767">
        <v>0</v>
      </c>
      <c r="AT169" s="1767">
        <v>0</v>
      </c>
      <c r="AU169" s="1767">
        <v>0</v>
      </c>
      <c r="AV169" s="1767">
        <v>0</v>
      </c>
      <c r="AW169" s="1767">
        <v>0</v>
      </c>
      <c r="AX169" s="1767">
        <v>0</v>
      </c>
      <c r="AY169" s="1767">
        <v>0</v>
      </c>
      <c r="AZ169" s="1767">
        <v>0</v>
      </c>
      <c r="BA169" s="1767">
        <v>0</v>
      </c>
      <c r="BB169" s="1767">
        <v>0</v>
      </c>
      <c r="BC169" s="1767">
        <v>0</v>
      </c>
      <c r="BD169" s="1767">
        <v>0</v>
      </c>
      <c r="BE169" s="1767">
        <v>0</v>
      </c>
      <c r="BF169" s="1767">
        <v>0</v>
      </c>
      <c r="BG169" s="1767">
        <v>0</v>
      </c>
      <c r="BH169" s="1767">
        <v>0</v>
      </c>
      <c r="BI169" s="1767">
        <v>0</v>
      </c>
      <c r="BJ169" s="1767">
        <v>0</v>
      </c>
      <c r="BK169" s="1767">
        <v>0</v>
      </c>
      <c r="BL169" s="1767">
        <v>0</v>
      </c>
      <c r="BM169" s="1767">
        <v>0</v>
      </c>
      <c r="BN169" s="1767">
        <v>0</v>
      </c>
      <c r="BO169" s="1767">
        <v>0</v>
      </c>
      <c r="BP169" s="1767">
        <v>0</v>
      </c>
      <c r="BQ169" s="1767">
        <v>0</v>
      </c>
      <c r="BR169" s="1767">
        <v>0</v>
      </c>
      <c r="BS169" s="1767">
        <v>0</v>
      </c>
      <c r="BT169" s="1767">
        <v>0</v>
      </c>
      <c r="BU169" s="1767">
        <v>0</v>
      </c>
      <c r="BV169" s="1767">
        <v>0</v>
      </c>
      <c r="BW169" s="1767">
        <v>0</v>
      </c>
      <c r="BX169" s="1767">
        <v>0</v>
      </c>
      <c r="BY169" s="1767">
        <v>0</v>
      </c>
      <c r="BZ169" s="1767">
        <v>0</v>
      </c>
      <c r="CA169" s="1767">
        <v>0</v>
      </c>
      <c r="CB169" s="1767">
        <v>0</v>
      </c>
      <c r="CC169" s="1767">
        <v>0</v>
      </c>
      <c r="CD169" s="1767">
        <v>0</v>
      </c>
      <c r="CE169" s="1767">
        <v>0</v>
      </c>
      <c r="CF169" s="1767">
        <v>0</v>
      </c>
      <c r="CG169" s="1767">
        <v>0</v>
      </c>
      <c r="CH169" s="1767">
        <v>0</v>
      </c>
      <c r="CI169" s="1767">
        <v>0</v>
      </c>
      <c r="CJ169" s="1767">
        <v>0</v>
      </c>
      <c r="CK169" s="1767">
        <v>0</v>
      </c>
      <c r="CL169" s="1767">
        <v>0</v>
      </c>
      <c r="CM169" s="1767">
        <v>0</v>
      </c>
      <c r="CN169" s="1767">
        <v>0</v>
      </c>
      <c r="CO169" s="1767">
        <v>0</v>
      </c>
      <c r="CP169" s="1767">
        <v>0</v>
      </c>
    </row>
    <row r="170" spans="1:94" ht="15" customHeight="1" x14ac:dyDescent="0.2">
      <c r="A170" s="1847"/>
      <c r="B170" s="1834"/>
      <c r="C170" s="663" t="s">
        <v>2124</v>
      </c>
      <c r="D170" s="936"/>
      <c r="E170" s="1837"/>
      <c r="F170" s="1225"/>
      <c r="G170" s="1767">
        <v>0</v>
      </c>
      <c r="H170" s="1767">
        <v>0</v>
      </c>
      <c r="I170" s="1767">
        <v>0</v>
      </c>
      <c r="J170" s="1767">
        <v>0</v>
      </c>
      <c r="K170" s="1767">
        <v>0</v>
      </c>
      <c r="L170" s="1767">
        <v>0</v>
      </c>
      <c r="M170" s="1767">
        <v>0</v>
      </c>
      <c r="N170" s="1767">
        <v>0</v>
      </c>
      <c r="O170" s="1767">
        <v>0</v>
      </c>
      <c r="P170" s="1767">
        <v>0</v>
      </c>
      <c r="Q170" s="1767">
        <v>0</v>
      </c>
      <c r="R170" s="1767">
        <v>0</v>
      </c>
      <c r="S170" s="1767">
        <v>0</v>
      </c>
      <c r="T170" s="1767">
        <v>0</v>
      </c>
      <c r="U170" s="1767">
        <v>0</v>
      </c>
      <c r="V170" s="1767">
        <v>0</v>
      </c>
      <c r="W170" s="1767">
        <v>0</v>
      </c>
      <c r="X170" s="1767">
        <v>0</v>
      </c>
      <c r="Y170" s="1767">
        <v>0</v>
      </c>
      <c r="Z170" s="1767">
        <v>0</v>
      </c>
      <c r="AA170" s="1767">
        <v>0</v>
      </c>
      <c r="AB170" s="1767">
        <v>0</v>
      </c>
      <c r="AC170" s="1767">
        <v>0</v>
      </c>
      <c r="AD170" s="1767">
        <v>0</v>
      </c>
      <c r="AE170" s="1767">
        <v>0</v>
      </c>
      <c r="AF170" s="1767">
        <v>0</v>
      </c>
      <c r="AG170" s="1767">
        <v>0</v>
      </c>
      <c r="AH170" s="1767">
        <v>0</v>
      </c>
      <c r="AI170" s="1767">
        <v>0</v>
      </c>
      <c r="AJ170" s="1767">
        <v>0</v>
      </c>
      <c r="AK170" s="1767">
        <v>0</v>
      </c>
      <c r="AL170" s="1767">
        <v>0</v>
      </c>
      <c r="AM170" s="1767">
        <v>0</v>
      </c>
      <c r="AN170" s="1767">
        <v>0</v>
      </c>
      <c r="AO170" s="1767">
        <v>0</v>
      </c>
      <c r="AP170" s="1767">
        <v>0</v>
      </c>
      <c r="AQ170" s="1767">
        <v>0</v>
      </c>
      <c r="AR170" s="1767">
        <v>0</v>
      </c>
      <c r="AS170" s="1767">
        <v>0</v>
      </c>
      <c r="AT170" s="1767">
        <v>0</v>
      </c>
      <c r="AU170" s="1767">
        <v>0</v>
      </c>
      <c r="AV170" s="1767">
        <v>0</v>
      </c>
      <c r="AW170" s="1767">
        <v>0</v>
      </c>
      <c r="AX170" s="1767">
        <v>0</v>
      </c>
      <c r="AY170" s="1767">
        <v>0</v>
      </c>
      <c r="AZ170" s="1767">
        <v>0</v>
      </c>
      <c r="BA170" s="1767">
        <v>0</v>
      </c>
      <c r="BB170" s="1767">
        <v>0</v>
      </c>
      <c r="BC170" s="1767">
        <v>0</v>
      </c>
      <c r="BD170" s="1767">
        <v>0</v>
      </c>
      <c r="BE170" s="1767">
        <v>0</v>
      </c>
      <c r="BF170" s="1767">
        <v>0</v>
      </c>
      <c r="BG170" s="1767">
        <v>0</v>
      </c>
      <c r="BH170" s="1767">
        <v>0</v>
      </c>
      <c r="BI170" s="1767">
        <v>0</v>
      </c>
      <c r="BJ170" s="1767">
        <v>0</v>
      </c>
      <c r="BK170" s="1767">
        <v>0</v>
      </c>
      <c r="BL170" s="1767">
        <v>0</v>
      </c>
      <c r="BM170" s="1767">
        <v>0</v>
      </c>
      <c r="BN170" s="1767">
        <v>0</v>
      </c>
      <c r="BO170" s="1767">
        <v>0</v>
      </c>
      <c r="BP170" s="1767">
        <v>0</v>
      </c>
      <c r="BQ170" s="1767">
        <v>0</v>
      </c>
      <c r="BR170" s="1767">
        <v>0</v>
      </c>
      <c r="BS170" s="1767">
        <v>0</v>
      </c>
      <c r="BT170" s="1767">
        <v>0</v>
      </c>
      <c r="BU170" s="1767">
        <v>0</v>
      </c>
      <c r="BV170" s="1767">
        <v>0</v>
      </c>
      <c r="BW170" s="1767">
        <v>0</v>
      </c>
      <c r="BX170" s="1767">
        <v>0</v>
      </c>
      <c r="BY170" s="1767">
        <v>0</v>
      </c>
      <c r="BZ170" s="1767">
        <v>0</v>
      </c>
      <c r="CA170" s="1767">
        <v>0</v>
      </c>
      <c r="CB170" s="1767">
        <v>0</v>
      </c>
      <c r="CC170" s="1767">
        <v>0</v>
      </c>
      <c r="CD170" s="1767">
        <v>0</v>
      </c>
      <c r="CE170" s="1767">
        <v>0</v>
      </c>
      <c r="CF170" s="1767">
        <v>0</v>
      </c>
      <c r="CG170" s="1767">
        <v>0</v>
      </c>
      <c r="CH170" s="1767">
        <v>0</v>
      </c>
      <c r="CI170" s="1767">
        <v>0</v>
      </c>
      <c r="CJ170" s="1767">
        <v>0</v>
      </c>
      <c r="CK170" s="1767">
        <v>0</v>
      </c>
      <c r="CL170" s="1767">
        <v>0</v>
      </c>
      <c r="CM170" s="1767">
        <v>0</v>
      </c>
      <c r="CN170" s="1767">
        <v>0</v>
      </c>
      <c r="CO170" s="1767">
        <v>0</v>
      </c>
      <c r="CP170" s="1767">
        <v>0</v>
      </c>
    </row>
    <row r="171" spans="1:94" ht="15" customHeight="1" thickBot="1" x14ac:dyDescent="0.25">
      <c r="A171" s="1847"/>
      <c r="B171" s="1834"/>
      <c r="C171" s="649" t="s">
        <v>1699</v>
      </c>
      <c r="D171" s="949"/>
      <c r="E171" s="1837"/>
      <c r="F171" s="1225"/>
      <c r="G171" s="1767">
        <v>0</v>
      </c>
      <c r="H171" s="1767">
        <v>0</v>
      </c>
      <c r="I171" s="1767">
        <v>0</v>
      </c>
      <c r="J171" s="1767">
        <v>0</v>
      </c>
      <c r="K171" s="1767">
        <v>0</v>
      </c>
      <c r="L171" s="1767">
        <v>0</v>
      </c>
      <c r="M171" s="1767">
        <v>0</v>
      </c>
      <c r="N171" s="1767">
        <v>0</v>
      </c>
      <c r="O171" s="1767">
        <v>0</v>
      </c>
      <c r="P171" s="1767">
        <v>0</v>
      </c>
      <c r="Q171" s="1767">
        <v>0</v>
      </c>
      <c r="R171" s="1767">
        <v>0</v>
      </c>
      <c r="S171" s="1767">
        <v>0</v>
      </c>
      <c r="T171" s="1767">
        <v>0</v>
      </c>
      <c r="U171" s="1767">
        <v>0</v>
      </c>
      <c r="V171" s="1767">
        <v>0</v>
      </c>
      <c r="W171" s="1767">
        <v>0</v>
      </c>
      <c r="X171" s="1767">
        <v>0</v>
      </c>
      <c r="Y171" s="1767">
        <v>0</v>
      </c>
      <c r="Z171" s="1767">
        <v>0</v>
      </c>
      <c r="AA171" s="1767">
        <v>0</v>
      </c>
      <c r="AB171" s="1767">
        <v>0</v>
      </c>
      <c r="AC171" s="1767">
        <v>0</v>
      </c>
      <c r="AD171" s="1767">
        <v>0</v>
      </c>
      <c r="AE171" s="1767">
        <v>0</v>
      </c>
      <c r="AF171" s="1767">
        <v>0</v>
      </c>
      <c r="AG171" s="1767">
        <v>0</v>
      </c>
      <c r="AH171" s="1767">
        <v>0</v>
      </c>
      <c r="AI171" s="1767">
        <v>0</v>
      </c>
      <c r="AJ171" s="1767">
        <v>0</v>
      </c>
      <c r="AK171" s="1767">
        <v>0</v>
      </c>
      <c r="AL171" s="1767">
        <v>0</v>
      </c>
      <c r="AM171" s="1767">
        <v>0</v>
      </c>
      <c r="AN171" s="1767">
        <v>0</v>
      </c>
      <c r="AO171" s="1767">
        <v>0</v>
      </c>
      <c r="AP171" s="1767">
        <v>0</v>
      </c>
      <c r="AQ171" s="1767">
        <v>0</v>
      </c>
      <c r="AR171" s="1767">
        <v>0</v>
      </c>
      <c r="AS171" s="1767">
        <v>0</v>
      </c>
      <c r="AT171" s="1767">
        <v>0</v>
      </c>
      <c r="AU171" s="1767">
        <v>0</v>
      </c>
      <c r="AV171" s="1767">
        <v>0</v>
      </c>
      <c r="AW171" s="1767">
        <v>0</v>
      </c>
      <c r="AX171" s="1767">
        <v>0</v>
      </c>
      <c r="AY171" s="1767">
        <v>0</v>
      </c>
      <c r="AZ171" s="1767">
        <v>0</v>
      </c>
      <c r="BA171" s="1767">
        <v>0</v>
      </c>
      <c r="BB171" s="1767">
        <v>0</v>
      </c>
      <c r="BC171" s="1767">
        <v>0</v>
      </c>
      <c r="BD171" s="1767">
        <v>0</v>
      </c>
      <c r="BE171" s="1767">
        <v>0</v>
      </c>
      <c r="BF171" s="1767">
        <v>0</v>
      </c>
      <c r="BG171" s="1767">
        <v>0</v>
      </c>
      <c r="BH171" s="1767">
        <v>0</v>
      </c>
      <c r="BI171" s="1767">
        <v>0</v>
      </c>
      <c r="BJ171" s="1767">
        <v>0</v>
      </c>
      <c r="BK171" s="1767">
        <v>0</v>
      </c>
      <c r="BL171" s="1767">
        <v>0</v>
      </c>
      <c r="BM171" s="1767">
        <v>0</v>
      </c>
      <c r="BN171" s="1767">
        <v>0</v>
      </c>
      <c r="BO171" s="1767">
        <v>0</v>
      </c>
      <c r="BP171" s="1767">
        <v>0</v>
      </c>
      <c r="BQ171" s="1767">
        <v>0</v>
      </c>
      <c r="BR171" s="1767">
        <v>0</v>
      </c>
      <c r="BS171" s="1767">
        <v>0</v>
      </c>
      <c r="BT171" s="1767">
        <v>0</v>
      </c>
      <c r="BU171" s="1767">
        <v>0</v>
      </c>
      <c r="BV171" s="1767">
        <v>0</v>
      </c>
      <c r="BW171" s="1767">
        <v>0</v>
      </c>
      <c r="BX171" s="1767">
        <v>0</v>
      </c>
      <c r="BY171" s="1767">
        <v>0</v>
      </c>
      <c r="BZ171" s="1767">
        <v>0</v>
      </c>
      <c r="CA171" s="1767">
        <v>0</v>
      </c>
      <c r="CB171" s="1767">
        <v>0</v>
      </c>
      <c r="CC171" s="1767">
        <v>0</v>
      </c>
      <c r="CD171" s="1767">
        <v>0</v>
      </c>
      <c r="CE171" s="1767">
        <v>0</v>
      </c>
      <c r="CF171" s="1767">
        <v>0</v>
      </c>
      <c r="CG171" s="1767">
        <v>0</v>
      </c>
      <c r="CH171" s="1767">
        <v>0</v>
      </c>
      <c r="CI171" s="1767">
        <v>0</v>
      </c>
      <c r="CJ171" s="1767">
        <v>0</v>
      </c>
      <c r="CK171" s="1767">
        <v>0</v>
      </c>
      <c r="CL171" s="1767">
        <v>0</v>
      </c>
      <c r="CM171" s="1767">
        <v>0</v>
      </c>
      <c r="CN171" s="1767">
        <v>0</v>
      </c>
      <c r="CO171" s="1767">
        <v>0</v>
      </c>
      <c r="CP171" s="1767">
        <v>0</v>
      </c>
    </row>
    <row r="172" spans="1:94" ht="45" customHeight="1" thickBot="1" x14ac:dyDescent="0.25">
      <c r="A172" s="651" t="s">
        <v>1307</v>
      </c>
      <c r="B172" s="716" t="s">
        <v>856</v>
      </c>
      <c r="C172" s="1779" t="s">
        <v>2525</v>
      </c>
      <c r="D172" s="951"/>
      <c r="E172" s="828" t="s">
        <v>1819</v>
      </c>
      <c r="F172" s="1225"/>
      <c r="G172" s="1767">
        <v>0</v>
      </c>
      <c r="H172" s="1767">
        <v>0</v>
      </c>
      <c r="I172" s="1767">
        <v>0</v>
      </c>
      <c r="J172" s="1767">
        <v>0</v>
      </c>
      <c r="K172" s="1767">
        <v>0</v>
      </c>
      <c r="L172" s="1767">
        <v>0</v>
      </c>
      <c r="M172" s="1767">
        <v>0</v>
      </c>
      <c r="N172" s="1767">
        <v>0</v>
      </c>
      <c r="O172" s="1767">
        <v>0</v>
      </c>
      <c r="P172" s="1767">
        <v>0</v>
      </c>
      <c r="Q172" s="1767">
        <v>0</v>
      </c>
      <c r="R172" s="1767">
        <v>0</v>
      </c>
      <c r="S172" s="1767">
        <v>0</v>
      </c>
      <c r="T172" s="1767">
        <v>0</v>
      </c>
      <c r="U172" s="1767">
        <v>0</v>
      </c>
      <c r="V172" s="1767">
        <v>0</v>
      </c>
      <c r="W172" s="1767">
        <v>0</v>
      </c>
      <c r="X172" s="1767">
        <v>0</v>
      </c>
      <c r="Y172" s="1767">
        <v>0</v>
      </c>
      <c r="Z172" s="1767">
        <v>0</v>
      </c>
      <c r="AA172" s="1767">
        <v>0</v>
      </c>
      <c r="AB172" s="1767">
        <v>0</v>
      </c>
      <c r="AC172" s="1767">
        <v>0</v>
      </c>
      <c r="AD172" s="1767">
        <v>0</v>
      </c>
      <c r="AE172" s="1767">
        <v>0</v>
      </c>
      <c r="AF172" s="1767">
        <v>0</v>
      </c>
      <c r="AG172" s="1767">
        <v>0</v>
      </c>
      <c r="AH172" s="1767">
        <v>0</v>
      </c>
      <c r="AI172" s="1767">
        <v>0</v>
      </c>
      <c r="AJ172" s="1767">
        <v>0</v>
      </c>
      <c r="AK172" s="1767">
        <v>0</v>
      </c>
      <c r="AL172" s="1767">
        <v>0</v>
      </c>
      <c r="AM172" s="1767">
        <v>0</v>
      </c>
      <c r="AN172" s="1767">
        <v>0</v>
      </c>
      <c r="AO172" s="1767">
        <v>0</v>
      </c>
      <c r="AP172" s="1767">
        <v>0</v>
      </c>
      <c r="AQ172" s="1767">
        <v>0</v>
      </c>
      <c r="AR172" s="1767">
        <v>0</v>
      </c>
      <c r="AS172" s="1767">
        <v>0</v>
      </c>
      <c r="AT172" s="1767">
        <v>0</v>
      </c>
      <c r="AU172" s="1767">
        <v>0</v>
      </c>
      <c r="AV172" s="1767">
        <v>0</v>
      </c>
      <c r="AW172" s="1767">
        <v>0</v>
      </c>
      <c r="AX172" s="1767">
        <v>0</v>
      </c>
      <c r="AY172" s="1767">
        <v>0</v>
      </c>
      <c r="AZ172" s="1767">
        <v>0</v>
      </c>
      <c r="BA172" s="1767">
        <v>0</v>
      </c>
      <c r="BB172" s="1767">
        <v>0</v>
      </c>
      <c r="BC172" s="1767">
        <v>0</v>
      </c>
      <c r="BD172" s="1767">
        <v>0</v>
      </c>
      <c r="BE172" s="1767">
        <v>0</v>
      </c>
      <c r="BF172" s="1767">
        <v>0</v>
      </c>
      <c r="BG172" s="1767">
        <v>0</v>
      </c>
      <c r="BH172" s="1767">
        <v>0</v>
      </c>
      <c r="BI172" s="1767">
        <v>0</v>
      </c>
      <c r="BJ172" s="1767">
        <v>0</v>
      </c>
      <c r="BK172" s="1767">
        <v>0</v>
      </c>
      <c r="BL172" s="1767">
        <v>0</v>
      </c>
      <c r="BM172" s="1767">
        <v>0</v>
      </c>
      <c r="BN172" s="1767">
        <v>0</v>
      </c>
      <c r="BO172" s="1767">
        <v>0</v>
      </c>
      <c r="BP172" s="1767">
        <v>0</v>
      </c>
      <c r="BQ172" s="1767">
        <v>0</v>
      </c>
      <c r="BR172" s="1767">
        <v>0</v>
      </c>
      <c r="BS172" s="1767">
        <v>0</v>
      </c>
      <c r="BT172" s="1767">
        <v>0</v>
      </c>
      <c r="BU172" s="1767">
        <v>0</v>
      </c>
      <c r="BV172" s="1767">
        <v>0</v>
      </c>
      <c r="BW172" s="1767">
        <v>0</v>
      </c>
      <c r="BX172" s="1767">
        <v>0</v>
      </c>
      <c r="BY172" s="1767">
        <v>0</v>
      </c>
      <c r="BZ172" s="1767">
        <v>0</v>
      </c>
      <c r="CA172" s="1767">
        <v>0</v>
      </c>
      <c r="CB172" s="1767">
        <v>0</v>
      </c>
      <c r="CC172" s="1767">
        <v>0</v>
      </c>
      <c r="CD172" s="1767">
        <v>0</v>
      </c>
      <c r="CE172" s="1767">
        <v>0</v>
      </c>
      <c r="CF172" s="1767">
        <v>0</v>
      </c>
      <c r="CG172" s="1767">
        <v>0</v>
      </c>
      <c r="CH172" s="1767">
        <v>0</v>
      </c>
      <c r="CI172" s="1767">
        <v>0</v>
      </c>
      <c r="CJ172" s="1767">
        <v>0</v>
      </c>
      <c r="CK172" s="1767">
        <v>0</v>
      </c>
      <c r="CL172" s="1767">
        <v>0</v>
      </c>
      <c r="CM172" s="1767">
        <v>0</v>
      </c>
      <c r="CN172" s="1767">
        <v>0</v>
      </c>
      <c r="CO172" s="1767">
        <v>0</v>
      </c>
      <c r="CP172" s="1767">
        <v>0</v>
      </c>
    </row>
    <row r="173" spans="1:94" ht="30" customHeight="1" thickBot="1" x14ac:dyDescent="0.25">
      <c r="A173" s="1849" t="s">
        <v>1308</v>
      </c>
      <c r="B173" s="1846" t="s">
        <v>857</v>
      </c>
      <c r="C173" s="1777" t="s">
        <v>2526</v>
      </c>
      <c r="D173" s="947"/>
      <c r="E173" s="1830" t="s">
        <v>2378</v>
      </c>
      <c r="F173" s="1225"/>
      <c r="G173" s="1742"/>
      <c r="H173" s="1742"/>
      <c r="I173" s="1742"/>
      <c r="J173" s="1742"/>
      <c r="K173" s="1742"/>
      <c r="L173" s="1742"/>
      <c r="M173" s="1742"/>
      <c r="N173" s="1742"/>
      <c r="O173" s="1742"/>
      <c r="P173" s="1742"/>
      <c r="Q173" s="1742"/>
      <c r="R173" s="1742"/>
      <c r="S173" s="1742"/>
      <c r="T173" s="1742"/>
      <c r="U173" s="1742"/>
      <c r="V173" s="1742"/>
      <c r="W173" s="1742"/>
      <c r="X173" s="1742"/>
      <c r="Y173" s="1742"/>
      <c r="Z173" s="1742"/>
      <c r="AA173" s="1742"/>
      <c r="AB173" s="1742"/>
      <c r="AC173" s="1742"/>
      <c r="AD173" s="1742"/>
      <c r="AE173" s="1742"/>
      <c r="AF173" s="1742"/>
      <c r="AG173" s="1742"/>
      <c r="AH173" s="1742"/>
      <c r="AI173" s="1742"/>
      <c r="AJ173" s="1742"/>
      <c r="AK173" s="1742"/>
      <c r="AL173" s="1742"/>
      <c r="AM173" s="1742"/>
      <c r="AN173" s="1742"/>
      <c r="AO173" s="1742"/>
      <c r="AP173" s="1742"/>
      <c r="AQ173" s="1742"/>
      <c r="AR173" s="1742"/>
      <c r="AS173" s="1742"/>
      <c r="AT173" s="1742"/>
      <c r="AU173" s="1742"/>
      <c r="AV173" s="1742"/>
      <c r="AW173" s="1742"/>
      <c r="AX173" s="1742"/>
      <c r="AY173" s="1742"/>
      <c r="AZ173" s="1742"/>
      <c r="BA173" s="1742"/>
      <c r="BB173" s="1742"/>
      <c r="BC173" s="1742"/>
      <c r="BD173" s="1742"/>
      <c r="BE173" s="1742"/>
      <c r="BF173" s="1742"/>
      <c r="BG173" s="1742"/>
      <c r="BH173" s="1742"/>
      <c r="BI173" s="1742"/>
      <c r="BJ173" s="1742"/>
      <c r="BK173" s="1742"/>
      <c r="BL173" s="1742"/>
      <c r="BM173" s="1742"/>
      <c r="BN173" s="1742"/>
      <c r="BO173" s="1742"/>
      <c r="BP173" s="1742"/>
      <c r="BQ173" s="1742"/>
      <c r="BR173" s="1742"/>
      <c r="BS173" s="1742"/>
      <c r="BT173" s="1742"/>
      <c r="BU173" s="1742"/>
      <c r="BV173" s="1742"/>
      <c r="BW173" s="1742"/>
      <c r="BX173" s="1742"/>
      <c r="BY173" s="1742"/>
      <c r="BZ173" s="1742"/>
      <c r="CA173" s="1742"/>
      <c r="CB173" s="1742"/>
      <c r="CC173" s="1742"/>
      <c r="CD173" s="1742"/>
      <c r="CE173" s="1742"/>
      <c r="CF173" s="1742"/>
      <c r="CG173" s="1742"/>
      <c r="CH173" s="1742"/>
      <c r="CI173" s="1742"/>
      <c r="CJ173" s="1742"/>
      <c r="CK173" s="1742"/>
      <c r="CL173" s="1742"/>
      <c r="CM173" s="1742"/>
      <c r="CN173" s="1742"/>
      <c r="CO173" s="1742"/>
      <c r="CP173" s="1742"/>
    </row>
    <row r="174" spans="1:94" ht="29.25" x14ac:dyDescent="0.2">
      <c r="A174" s="1847"/>
      <c r="B174" s="1856"/>
      <c r="C174" s="652" t="s">
        <v>2362</v>
      </c>
      <c r="D174" s="936"/>
      <c r="E174" s="1831"/>
      <c r="F174" s="1225"/>
      <c r="G174" s="1767">
        <v>0</v>
      </c>
      <c r="H174" s="1767">
        <v>0</v>
      </c>
      <c r="I174" s="1767">
        <v>0</v>
      </c>
      <c r="J174" s="1767">
        <v>0</v>
      </c>
      <c r="K174" s="1767">
        <v>0</v>
      </c>
      <c r="L174" s="1767">
        <v>0</v>
      </c>
      <c r="M174" s="1767">
        <v>0</v>
      </c>
      <c r="N174" s="1767">
        <v>0</v>
      </c>
      <c r="O174" s="1767">
        <v>0</v>
      </c>
      <c r="P174" s="1767">
        <v>0</v>
      </c>
      <c r="Q174" s="1767">
        <v>0</v>
      </c>
      <c r="R174" s="1767">
        <v>0</v>
      </c>
      <c r="S174" s="1767">
        <v>0</v>
      </c>
      <c r="T174" s="1767">
        <v>0</v>
      </c>
      <c r="U174" s="1767">
        <v>0</v>
      </c>
      <c r="V174" s="1767">
        <v>0</v>
      </c>
      <c r="W174" s="1767">
        <v>0</v>
      </c>
      <c r="X174" s="1767">
        <v>0</v>
      </c>
      <c r="Y174" s="1767">
        <v>0</v>
      </c>
      <c r="Z174" s="1767">
        <v>0</v>
      </c>
      <c r="AA174" s="1767">
        <v>0</v>
      </c>
      <c r="AB174" s="1767">
        <v>0</v>
      </c>
      <c r="AC174" s="1767">
        <v>0</v>
      </c>
      <c r="AD174" s="1767">
        <v>0</v>
      </c>
      <c r="AE174" s="1767">
        <v>0</v>
      </c>
      <c r="AF174" s="1767">
        <v>0</v>
      </c>
      <c r="AG174" s="1767">
        <v>0</v>
      </c>
      <c r="AH174" s="1767">
        <v>0</v>
      </c>
      <c r="AI174" s="1767">
        <v>0</v>
      </c>
      <c r="AJ174" s="1767">
        <v>0</v>
      </c>
      <c r="AK174" s="1767">
        <v>0</v>
      </c>
      <c r="AL174" s="1767">
        <v>0</v>
      </c>
      <c r="AM174" s="1767">
        <v>0</v>
      </c>
      <c r="AN174" s="1767">
        <v>0</v>
      </c>
      <c r="AO174" s="1767">
        <v>0</v>
      </c>
      <c r="AP174" s="1767">
        <v>0</v>
      </c>
      <c r="AQ174" s="1767">
        <v>0</v>
      </c>
      <c r="AR174" s="1767">
        <v>0</v>
      </c>
      <c r="AS174" s="1767">
        <v>0</v>
      </c>
      <c r="AT174" s="1767">
        <v>0</v>
      </c>
      <c r="AU174" s="1767">
        <v>0</v>
      </c>
      <c r="AV174" s="1767">
        <v>0</v>
      </c>
      <c r="AW174" s="1767">
        <v>0</v>
      </c>
      <c r="AX174" s="1767">
        <v>0</v>
      </c>
      <c r="AY174" s="1767">
        <v>0</v>
      </c>
      <c r="AZ174" s="1767">
        <v>0</v>
      </c>
      <c r="BA174" s="1767">
        <v>0</v>
      </c>
      <c r="BB174" s="1767">
        <v>0</v>
      </c>
      <c r="BC174" s="1767">
        <v>0</v>
      </c>
      <c r="BD174" s="1767">
        <v>0</v>
      </c>
      <c r="BE174" s="1767">
        <v>0</v>
      </c>
      <c r="BF174" s="1767">
        <v>0</v>
      </c>
      <c r="BG174" s="1767">
        <v>0</v>
      </c>
      <c r="BH174" s="1767">
        <v>0</v>
      </c>
      <c r="BI174" s="1767">
        <v>0</v>
      </c>
      <c r="BJ174" s="1767">
        <v>0</v>
      </c>
      <c r="BK174" s="1767">
        <v>0</v>
      </c>
      <c r="BL174" s="1767">
        <v>0</v>
      </c>
      <c r="BM174" s="1767">
        <v>0</v>
      </c>
      <c r="BN174" s="1767">
        <v>0</v>
      </c>
      <c r="BO174" s="1767">
        <v>0</v>
      </c>
      <c r="BP174" s="1767">
        <v>0</v>
      </c>
      <c r="BQ174" s="1767">
        <v>0</v>
      </c>
      <c r="BR174" s="1767">
        <v>0</v>
      </c>
      <c r="BS174" s="1767">
        <v>0</v>
      </c>
      <c r="BT174" s="1767">
        <v>0</v>
      </c>
      <c r="BU174" s="1767">
        <v>0</v>
      </c>
      <c r="BV174" s="1767">
        <v>0</v>
      </c>
      <c r="BW174" s="1767">
        <v>0</v>
      </c>
      <c r="BX174" s="1767">
        <v>0</v>
      </c>
      <c r="BY174" s="1767">
        <v>0</v>
      </c>
      <c r="BZ174" s="1767">
        <v>0</v>
      </c>
      <c r="CA174" s="1767">
        <v>0</v>
      </c>
      <c r="CB174" s="1767">
        <v>0</v>
      </c>
      <c r="CC174" s="1767">
        <v>0</v>
      </c>
      <c r="CD174" s="1767">
        <v>0</v>
      </c>
      <c r="CE174" s="1767">
        <v>0</v>
      </c>
      <c r="CF174" s="1767">
        <v>0</v>
      </c>
      <c r="CG174" s="1767">
        <v>0</v>
      </c>
      <c r="CH174" s="1767">
        <v>0</v>
      </c>
      <c r="CI174" s="1767">
        <v>0</v>
      </c>
      <c r="CJ174" s="1767">
        <v>0</v>
      </c>
      <c r="CK174" s="1767">
        <v>0</v>
      </c>
      <c r="CL174" s="1767">
        <v>0</v>
      </c>
      <c r="CM174" s="1767">
        <v>0</v>
      </c>
      <c r="CN174" s="1767">
        <v>0</v>
      </c>
      <c r="CO174" s="1767">
        <v>0</v>
      </c>
      <c r="CP174" s="1767">
        <v>0</v>
      </c>
    </row>
    <row r="175" spans="1:94" ht="15" customHeight="1" x14ac:dyDescent="0.2">
      <c r="A175" s="1847"/>
      <c r="B175" s="1856"/>
      <c r="C175" s="653" t="s">
        <v>2363</v>
      </c>
      <c r="D175" s="936"/>
      <c r="E175" s="1831"/>
      <c r="F175" s="1225"/>
      <c r="G175" s="1767">
        <v>0</v>
      </c>
      <c r="H175" s="1767">
        <v>0</v>
      </c>
      <c r="I175" s="1767">
        <v>0</v>
      </c>
      <c r="J175" s="1767">
        <v>0</v>
      </c>
      <c r="K175" s="1767">
        <v>0</v>
      </c>
      <c r="L175" s="1767">
        <v>0</v>
      </c>
      <c r="M175" s="1767">
        <v>0</v>
      </c>
      <c r="N175" s="1767">
        <v>0</v>
      </c>
      <c r="O175" s="1767">
        <v>0</v>
      </c>
      <c r="P175" s="1767">
        <v>0</v>
      </c>
      <c r="Q175" s="1767">
        <v>0</v>
      </c>
      <c r="R175" s="1767">
        <v>0</v>
      </c>
      <c r="S175" s="1767">
        <v>0</v>
      </c>
      <c r="T175" s="1767">
        <v>0</v>
      </c>
      <c r="U175" s="1767">
        <v>0</v>
      </c>
      <c r="V175" s="1767">
        <v>0</v>
      </c>
      <c r="W175" s="1767">
        <v>0</v>
      </c>
      <c r="X175" s="1767">
        <v>0</v>
      </c>
      <c r="Y175" s="1767">
        <v>0</v>
      </c>
      <c r="Z175" s="1767">
        <v>0</v>
      </c>
      <c r="AA175" s="1767">
        <v>0</v>
      </c>
      <c r="AB175" s="1767">
        <v>0</v>
      </c>
      <c r="AC175" s="1767">
        <v>0</v>
      </c>
      <c r="AD175" s="1767">
        <v>0</v>
      </c>
      <c r="AE175" s="1767">
        <v>0</v>
      </c>
      <c r="AF175" s="1767">
        <v>0</v>
      </c>
      <c r="AG175" s="1767">
        <v>0</v>
      </c>
      <c r="AH175" s="1767">
        <v>0</v>
      </c>
      <c r="AI175" s="1767">
        <v>0</v>
      </c>
      <c r="AJ175" s="1767">
        <v>0</v>
      </c>
      <c r="AK175" s="1767">
        <v>0</v>
      </c>
      <c r="AL175" s="1767">
        <v>0</v>
      </c>
      <c r="AM175" s="1767">
        <v>0</v>
      </c>
      <c r="AN175" s="1767">
        <v>0</v>
      </c>
      <c r="AO175" s="1767">
        <v>0</v>
      </c>
      <c r="AP175" s="1767">
        <v>0</v>
      </c>
      <c r="AQ175" s="1767">
        <v>0</v>
      </c>
      <c r="AR175" s="1767">
        <v>0</v>
      </c>
      <c r="AS175" s="1767">
        <v>0</v>
      </c>
      <c r="AT175" s="1767">
        <v>0</v>
      </c>
      <c r="AU175" s="1767">
        <v>0</v>
      </c>
      <c r="AV175" s="1767">
        <v>0</v>
      </c>
      <c r="AW175" s="1767">
        <v>0</v>
      </c>
      <c r="AX175" s="1767">
        <v>0</v>
      </c>
      <c r="AY175" s="1767">
        <v>0</v>
      </c>
      <c r="AZ175" s="1767">
        <v>0</v>
      </c>
      <c r="BA175" s="1767">
        <v>0</v>
      </c>
      <c r="BB175" s="1767">
        <v>0</v>
      </c>
      <c r="BC175" s="1767">
        <v>0</v>
      </c>
      <c r="BD175" s="1767">
        <v>0</v>
      </c>
      <c r="BE175" s="1767">
        <v>0</v>
      </c>
      <c r="BF175" s="1767">
        <v>0</v>
      </c>
      <c r="BG175" s="1767">
        <v>0</v>
      </c>
      <c r="BH175" s="1767">
        <v>0</v>
      </c>
      <c r="BI175" s="1767">
        <v>0</v>
      </c>
      <c r="BJ175" s="1767">
        <v>0</v>
      </c>
      <c r="BK175" s="1767">
        <v>0</v>
      </c>
      <c r="BL175" s="1767">
        <v>0</v>
      </c>
      <c r="BM175" s="1767">
        <v>0</v>
      </c>
      <c r="BN175" s="1767">
        <v>0</v>
      </c>
      <c r="BO175" s="1767">
        <v>0</v>
      </c>
      <c r="BP175" s="1767">
        <v>0</v>
      </c>
      <c r="BQ175" s="1767">
        <v>0</v>
      </c>
      <c r="BR175" s="1767">
        <v>0</v>
      </c>
      <c r="BS175" s="1767">
        <v>0</v>
      </c>
      <c r="BT175" s="1767">
        <v>0</v>
      </c>
      <c r="BU175" s="1767">
        <v>0</v>
      </c>
      <c r="BV175" s="1767">
        <v>0</v>
      </c>
      <c r="BW175" s="1767">
        <v>0</v>
      </c>
      <c r="BX175" s="1767">
        <v>0</v>
      </c>
      <c r="BY175" s="1767">
        <v>0</v>
      </c>
      <c r="BZ175" s="1767">
        <v>0</v>
      </c>
      <c r="CA175" s="1767">
        <v>0</v>
      </c>
      <c r="CB175" s="1767">
        <v>0</v>
      </c>
      <c r="CC175" s="1767">
        <v>0</v>
      </c>
      <c r="CD175" s="1767">
        <v>0</v>
      </c>
      <c r="CE175" s="1767">
        <v>0</v>
      </c>
      <c r="CF175" s="1767">
        <v>0</v>
      </c>
      <c r="CG175" s="1767">
        <v>0</v>
      </c>
      <c r="CH175" s="1767">
        <v>0</v>
      </c>
      <c r="CI175" s="1767">
        <v>0</v>
      </c>
      <c r="CJ175" s="1767">
        <v>0</v>
      </c>
      <c r="CK175" s="1767">
        <v>0</v>
      </c>
      <c r="CL175" s="1767">
        <v>0</v>
      </c>
      <c r="CM175" s="1767">
        <v>0</v>
      </c>
      <c r="CN175" s="1767">
        <v>0</v>
      </c>
      <c r="CO175" s="1767">
        <v>0</v>
      </c>
      <c r="CP175" s="1767">
        <v>0</v>
      </c>
    </row>
    <row r="176" spans="1:94" ht="15" customHeight="1" x14ac:dyDescent="0.2">
      <c r="A176" s="1847"/>
      <c r="B176" s="1856"/>
      <c r="C176" s="653" t="s">
        <v>545</v>
      </c>
      <c r="D176" s="936"/>
      <c r="E176" s="1831"/>
      <c r="F176" s="1225"/>
      <c r="G176" s="1767">
        <v>0</v>
      </c>
      <c r="H176" s="1767">
        <v>0</v>
      </c>
      <c r="I176" s="1767">
        <v>0</v>
      </c>
      <c r="J176" s="1767">
        <v>0</v>
      </c>
      <c r="K176" s="1767">
        <v>0</v>
      </c>
      <c r="L176" s="1767">
        <v>0</v>
      </c>
      <c r="M176" s="1767">
        <v>0</v>
      </c>
      <c r="N176" s="1767">
        <v>0</v>
      </c>
      <c r="O176" s="1767">
        <v>0</v>
      </c>
      <c r="P176" s="1767">
        <v>0</v>
      </c>
      <c r="Q176" s="1767">
        <v>0</v>
      </c>
      <c r="R176" s="1767">
        <v>0</v>
      </c>
      <c r="S176" s="1767">
        <v>0</v>
      </c>
      <c r="T176" s="1767">
        <v>0</v>
      </c>
      <c r="U176" s="1767">
        <v>0</v>
      </c>
      <c r="V176" s="1767">
        <v>0</v>
      </c>
      <c r="W176" s="1767">
        <v>0</v>
      </c>
      <c r="X176" s="1767">
        <v>0</v>
      </c>
      <c r="Y176" s="1767">
        <v>0</v>
      </c>
      <c r="Z176" s="1767">
        <v>0</v>
      </c>
      <c r="AA176" s="1767">
        <v>0</v>
      </c>
      <c r="AB176" s="1767">
        <v>0</v>
      </c>
      <c r="AC176" s="1767">
        <v>0</v>
      </c>
      <c r="AD176" s="1767">
        <v>0</v>
      </c>
      <c r="AE176" s="1767">
        <v>0</v>
      </c>
      <c r="AF176" s="1767">
        <v>0</v>
      </c>
      <c r="AG176" s="1767">
        <v>0</v>
      </c>
      <c r="AH176" s="1767">
        <v>0</v>
      </c>
      <c r="AI176" s="1767">
        <v>0</v>
      </c>
      <c r="AJ176" s="1767">
        <v>0</v>
      </c>
      <c r="AK176" s="1767">
        <v>0</v>
      </c>
      <c r="AL176" s="1767">
        <v>0</v>
      </c>
      <c r="AM176" s="1767">
        <v>0</v>
      </c>
      <c r="AN176" s="1767">
        <v>0</v>
      </c>
      <c r="AO176" s="1767">
        <v>0</v>
      </c>
      <c r="AP176" s="1767">
        <v>0</v>
      </c>
      <c r="AQ176" s="1767">
        <v>0</v>
      </c>
      <c r="AR176" s="1767">
        <v>0</v>
      </c>
      <c r="AS176" s="1767">
        <v>0</v>
      </c>
      <c r="AT176" s="1767">
        <v>0</v>
      </c>
      <c r="AU176" s="1767">
        <v>0</v>
      </c>
      <c r="AV176" s="1767">
        <v>0</v>
      </c>
      <c r="AW176" s="1767">
        <v>0</v>
      </c>
      <c r="AX176" s="1767">
        <v>0</v>
      </c>
      <c r="AY176" s="1767">
        <v>0</v>
      </c>
      <c r="AZ176" s="1767">
        <v>0</v>
      </c>
      <c r="BA176" s="1767">
        <v>0</v>
      </c>
      <c r="BB176" s="1767">
        <v>0</v>
      </c>
      <c r="BC176" s="1767">
        <v>0</v>
      </c>
      <c r="BD176" s="1767">
        <v>0</v>
      </c>
      <c r="BE176" s="1767">
        <v>0</v>
      </c>
      <c r="BF176" s="1767">
        <v>0</v>
      </c>
      <c r="BG176" s="1767">
        <v>0</v>
      </c>
      <c r="BH176" s="1767">
        <v>0</v>
      </c>
      <c r="BI176" s="1767">
        <v>0</v>
      </c>
      <c r="BJ176" s="1767">
        <v>0</v>
      </c>
      <c r="BK176" s="1767">
        <v>0</v>
      </c>
      <c r="BL176" s="1767">
        <v>0</v>
      </c>
      <c r="BM176" s="1767">
        <v>0</v>
      </c>
      <c r="BN176" s="1767">
        <v>0</v>
      </c>
      <c r="BO176" s="1767">
        <v>0</v>
      </c>
      <c r="BP176" s="1767">
        <v>0</v>
      </c>
      <c r="BQ176" s="1767">
        <v>0</v>
      </c>
      <c r="BR176" s="1767">
        <v>0</v>
      </c>
      <c r="BS176" s="1767">
        <v>0</v>
      </c>
      <c r="BT176" s="1767">
        <v>0</v>
      </c>
      <c r="BU176" s="1767">
        <v>0</v>
      </c>
      <c r="BV176" s="1767">
        <v>0</v>
      </c>
      <c r="BW176" s="1767">
        <v>0</v>
      </c>
      <c r="BX176" s="1767">
        <v>0</v>
      </c>
      <c r="BY176" s="1767">
        <v>0</v>
      </c>
      <c r="BZ176" s="1767">
        <v>0</v>
      </c>
      <c r="CA176" s="1767">
        <v>0</v>
      </c>
      <c r="CB176" s="1767">
        <v>0</v>
      </c>
      <c r="CC176" s="1767">
        <v>0</v>
      </c>
      <c r="CD176" s="1767">
        <v>0</v>
      </c>
      <c r="CE176" s="1767">
        <v>0</v>
      </c>
      <c r="CF176" s="1767">
        <v>0</v>
      </c>
      <c r="CG176" s="1767">
        <v>0</v>
      </c>
      <c r="CH176" s="1767">
        <v>0</v>
      </c>
      <c r="CI176" s="1767">
        <v>0</v>
      </c>
      <c r="CJ176" s="1767">
        <v>0</v>
      </c>
      <c r="CK176" s="1767">
        <v>0</v>
      </c>
      <c r="CL176" s="1767">
        <v>0</v>
      </c>
      <c r="CM176" s="1767">
        <v>0</v>
      </c>
      <c r="CN176" s="1767">
        <v>0</v>
      </c>
      <c r="CO176" s="1767">
        <v>0</v>
      </c>
      <c r="CP176" s="1767">
        <v>0</v>
      </c>
    </row>
    <row r="177" spans="1:94" ht="15" customHeight="1" x14ac:dyDescent="0.2">
      <c r="A177" s="1847"/>
      <c r="B177" s="1856"/>
      <c r="C177" s="653" t="s">
        <v>546</v>
      </c>
      <c r="D177" s="936"/>
      <c r="E177" s="1831"/>
      <c r="F177" s="1225"/>
      <c r="G177" s="1767">
        <v>0</v>
      </c>
      <c r="H177" s="1767">
        <v>0</v>
      </c>
      <c r="I177" s="1767">
        <v>0</v>
      </c>
      <c r="J177" s="1767">
        <v>0</v>
      </c>
      <c r="K177" s="1767">
        <v>0</v>
      </c>
      <c r="L177" s="1767">
        <v>0</v>
      </c>
      <c r="M177" s="1767">
        <v>0</v>
      </c>
      <c r="N177" s="1767">
        <v>0</v>
      </c>
      <c r="O177" s="1767">
        <v>0</v>
      </c>
      <c r="P177" s="1767">
        <v>0</v>
      </c>
      <c r="Q177" s="1767">
        <v>0</v>
      </c>
      <c r="R177" s="1767">
        <v>0</v>
      </c>
      <c r="S177" s="1767">
        <v>0</v>
      </c>
      <c r="T177" s="1767">
        <v>0</v>
      </c>
      <c r="U177" s="1767">
        <v>0</v>
      </c>
      <c r="V177" s="1767">
        <v>0</v>
      </c>
      <c r="W177" s="1767">
        <v>0</v>
      </c>
      <c r="X177" s="1767">
        <v>0</v>
      </c>
      <c r="Y177" s="1767">
        <v>0</v>
      </c>
      <c r="Z177" s="1767">
        <v>0</v>
      </c>
      <c r="AA177" s="1767">
        <v>0</v>
      </c>
      <c r="AB177" s="1767">
        <v>0</v>
      </c>
      <c r="AC177" s="1767">
        <v>0</v>
      </c>
      <c r="AD177" s="1767">
        <v>0</v>
      </c>
      <c r="AE177" s="1767">
        <v>0</v>
      </c>
      <c r="AF177" s="1767">
        <v>0</v>
      </c>
      <c r="AG177" s="1767">
        <v>0</v>
      </c>
      <c r="AH177" s="1767">
        <v>0</v>
      </c>
      <c r="AI177" s="1767">
        <v>0</v>
      </c>
      <c r="AJ177" s="1767">
        <v>0</v>
      </c>
      <c r="AK177" s="1767">
        <v>0</v>
      </c>
      <c r="AL177" s="1767">
        <v>0</v>
      </c>
      <c r="AM177" s="1767">
        <v>0</v>
      </c>
      <c r="AN177" s="1767">
        <v>0</v>
      </c>
      <c r="AO177" s="1767">
        <v>0</v>
      </c>
      <c r="AP177" s="1767">
        <v>0</v>
      </c>
      <c r="AQ177" s="1767">
        <v>0</v>
      </c>
      <c r="AR177" s="1767">
        <v>0</v>
      </c>
      <c r="AS177" s="1767">
        <v>0</v>
      </c>
      <c r="AT177" s="1767">
        <v>0</v>
      </c>
      <c r="AU177" s="1767">
        <v>0</v>
      </c>
      <c r="AV177" s="1767">
        <v>0</v>
      </c>
      <c r="AW177" s="1767">
        <v>0</v>
      </c>
      <c r="AX177" s="1767">
        <v>0</v>
      </c>
      <c r="AY177" s="1767">
        <v>0</v>
      </c>
      <c r="AZ177" s="1767">
        <v>0</v>
      </c>
      <c r="BA177" s="1767">
        <v>0</v>
      </c>
      <c r="BB177" s="1767">
        <v>0</v>
      </c>
      <c r="BC177" s="1767">
        <v>0</v>
      </c>
      <c r="BD177" s="1767">
        <v>0</v>
      </c>
      <c r="BE177" s="1767">
        <v>0</v>
      </c>
      <c r="BF177" s="1767">
        <v>0</v>
      </c>
      <c r="BG177" s="1767">
        <v>0</v>
      </c>
      <c r="BH177" s="1767">
        <v>0</v>
      </c>
      <c r="BI177" s="1767">
        <v>0</v>
      </c>
      <c r="BJ177" s="1767">
        <v>0</v>
      </c>
      <c r="BK177" s="1767">
        <v>0</v>
      </c>
      <c r="BL177" s="1767">
        <v>0</v>
      </c>
      <c r="BM177" s="1767">
        <v>0</v>
      </c>
      <c r="BN177" s="1767">
        <v>0</v>
      </c>
      <c r="BO177" s="1767">
        <v>0</v>
      </c>
      <c r="BP177" s="1767">
        <v>0</v>
      </c>
      <c r="BQ177" s="1767">
        <v>0</v>
      </c>
      <c r="BR177" s="1767">
        <v>0</v>
      </c>
      <c r="BS177" s="1767">
        <v>0</v>
      </c>
      <c r="BT177" s="1767">
        <v>0</v>
      </c>
      <c r="BU177" s="1767">
        <v>0</v>
      </c>
      <c r="BV177" s="1767">
        <v>0</v>
      </c>
      <c r="BW177" s="1767">
        <v>0</v>
      </c>
      <c r="BX177" s="1767">
        <v>0</v>
      </c>
      <c r="BY177" s="1767">
        <v>0</v>
      </c>
      <c r="BZ177" s="1767">
        <v>0</v>
      </c>
      <c r="CA177" s="1767">
        <v>0</v>
      </c>
      <c r="CB177" s="1767">
        <v>0</v>
      </c>
      <c r="CC177" s="1767">
        <v>0</v>
      </c>
      <c r="CD177" s="1767">
        <v>0</v>
      </c>
      <c r="CE177" s="1767">
        <v>0</v>
      </c>
      <c r="CF177" s="1767">
        <v>0</v>
      </c>
      <c r="CG177" s="1767">
        <v>0</v>
      </c>
      <c r="CH177" s="1767">
        <v>0</v>
      </c>
      <c r="CI177" s="1767">
        <v>0</v>
      </c>
      <c r="CJ177" s="1767">
        <v>0</v>
      </c>
      <c r="CK177" s="1767">
        <v>0</v>
      </c>
      <c r="CL177" s="1767">
        <v>0</v>
      </c>
      <c r="CM177" s="1767">
        <v>0</v>
      </c>
      <c r="CN177" s="1767">
        <v>0</v>
      </c>
      <c r="CO177" s="1767">
        <v>0</v>
      </c>
      <c r="CP177" s="1767">
        <v>0</v>
      </c>
    </row>
    <row r="178" spans="1:94" ht="15" customHeight="1" x14ac:dyDescent="0.2">
      <c r="A178" s="1847"/>
      <c r="B178" s="1856"/>
      <c r="C178" s="653" t="s">
        <v>547</v>
      </c>
      <c r="D178" s="936"/>
      <c r="E178" s="1831"/>
      <c r="F178" s="1225"/>
      <c r="G178" s="1767">
        <v>0</v>
      </c>
      <c r="H178" s="1767">
        <v>0</v>
      </c>
      <c r="I178" s="1767">
        <v>0</v>
      </c>
      <c r="J178" s="1767">
        <v>0</v>
      </c>
      <c r="K178" s="1767">
        <v>0</v>
      </c>
      <c r="L178" s="1767">
        <v>0</v>
      </c>
      <c r="M178" s="1767">
        <v>0</v>
      </c>
      <c r="N178" s="1767">
        <v>0</v>
      </c>
      <c r="O178" s="1767">
        <v>0</v>
      </c>
      <c r="P178" s="1767">
        <v>0</v>
      </c>
      <c r="Q178" s="1767">
        <v>0</v>
      </c>
      <c r="R178" s="1767">
        <v>0</v>
      </c>
      <c r="S178" s="1767">
        <v>0</v>
      </c>
      <c r="T178" s="1767">
        <v>0</v>
      </c>
      <c r="U178" s="1767">
        <v>0</v>
      </c>
      <c r="V178" s="1767">
        <v>0</v>
      </c>
      <c r="W178" s="1767">
        <v>0</v>
      </c>
      <c r="X178" s="1767">
        <v>0</v>
      </c>
      <c r="Y178" s="1767">
        <v>0</v>
      </c>
      <c r="Z178" s="1767">
        <v>0</v>
      </c>
      <c r="AA178" s="1767">
        <v>0</v>
      </c>
      <c r="AB178" s="1767">
        <v>0</v>
      </c>
      <c r="AC178" s="1767">
        <v>0</v>
      </c>
      <c r="AD178" s="1767">
        <v>0</v>
      </c>
      <c r="AE178" s="1767">
        <v>0</v>
      </c>
      <c r="AF178" s="1767">
        <v>0</v>
      </c>
      <c r="AG178" s="1767">
        <v>0</v>
      </c>
      <c r="AH178" s="1767">
        <v>0</v>
      </c>
      <c r="AI178" s="1767">
        <v>0</v>
      </c>
      <c r="AJ178" s="1767">
        <v>0</v>
      </c>
      <c r="AK178" s="1767">
        <v>0</v>
      </c>
      <c r="AL178" s="1767">
        <v>0</v>
      </c>
      <c r="AM178" s="1767">
        <v>0</v>
      </c>
      <c r="AN178" s="1767">
        <v>0</v>
      </c>
      <c r="AO178" s="1767">
        <v>0</v>
      </c>
      <c r="AP178" s="1767">
        <v>0</v>
      </c>
      <c r="AQ178" s="1767">
        <v>0</v>
      </c>
      <c r="AR178" s="1767">
        <v>0</v>
      </c>
      <c r="AS178" s="1767">
        <v>0</v>
      </c>
      <c r="AT178" s="1767">
        <v>0</v>
      </c>
      <c r="AU178" s="1767">
        <v>0</v>
      </c>
      <c r="AV178" s="1767">
        <v>0</v>
      </c>
      <c r="AW178" s="1767">
        <v>0</v>
      </c>
      <c r="AX178" s="1767">
        <v>0</v>
      </c>
      <c r="AY178" s="1767">
        <v>0</v>
      </c>
      <c r="AZ178" s="1767">
        <v>0</v>
      </c>
      <c r="BA178" s="1767">
        <v>0</v>
      </c>
      <c r="BB178" s="1767">
        <v>0</v>
      </c>
      <c r="BC178" s="1767">
        <v>0</v>
      </c>
      <c r="BD178" s="1767">
        <v>0</v>
      </c>
      <c r="BE178" s="1767">
        <v>0</v>
      </c>
      <c r="BF178" s="1767">
        <v>0</v>
      </c>
      <c r="BG178" s="1767">
        <v>0</v>
      </c>
      <c r="BH178" s="1767">
        <v>0</v>
      </c>
      <c r="BI178" s="1767">
        <v>0</v>
      </c>
      <c r="BJ178" s="1767">
        <v>0</v>
      </c>
      <c r="BK178" s="1767">
        <v>0</v>
      </c>
      <c r="BL178" s="1767">
        <v>0</v>
      </c>
      <c r="BM178" s="1767">
        <v>0</v>
      </c>
      <c r="BN178" s="1767">
        <v>0</v>
      </c>
      <c r="BO178" s="1767">
        <v>0</v>
      </c>
      <c r="BP178" s="1767">
        <v>0</v>
      </c>
      <c r="BQ178" s="1767">
        <v>0</v>
      </c>
      <c r="BR178" s="1767">
        <v>0</v>
      </c>
      <c r="BS178" s="1767">
        <v>0</v>
      </c>
      <c r="BT178" s="1767">
        <v>0</v>
      </c>
      <c r="BU178" s="1767">
        <v>0</v>
      </c>
      <c r="BV178" s="1767">
        <v>0</v>
      </c>
      <c r="BW178" s="1767">
        <v>0</v>
      </c>
      <c r="BX178" s="1767">
        <v>0</v>
      </c>
      <c r="BY178" s="1767">
        <v>0</v>
      </c>
      <c r="BZ178" s="1767">
        <v>0</v>
      </c>
      <c r="CA178" s="1767">
        <v>0</v>
      </c>
      <c r="CB178" s="1767">
        <v>0</v>
      </c>
      <c r="CC178" s="1767">
        <v>0</v>
      </c>
      <c r="CD178" s="1767">
        <v>0</v>
      </c>
      <c r="CE178" s="1767">
        <v>0</v>
      </c>
      <c r="CF178" s="1767">
        <v>0</v>
      </c>
      <c r="CG178" s="1767">
        <v>0</v>
      </c>
      <c r="CH178" s="1767">
        <v>0</v>
      </c>
      <c r="CI178" s="1767">
        <v>0</v>
      </c>
      <c r="CJ178" s="1767">
        <v>0</v>
      </c>
      <c r="CK178" s="1767">
        <v>0</v>
      </c>
      <c r="CL178" s="1767">
        <v>0</v>
      </c>
      <c r="CM178" s="1767">
        <v>0</v>
      </c>
      <c r="CN178" s="1767">
        <v>0</v>
      </c>
      <c r="CO178" s="1767">
        <v>0</v>
      </c>
      <c r="CP178" s="1767">
        <v>0</v>
      </c>
    </row>
    <row r="179" spans="1:94" ht="15" customHeight="1" thickBot="1" x14ac:dyDescent="0.25">
      <c r="A179" s="1897"/>
      <c r="B179" s="1857"/>
      <c r="C179" s="654" t="s">
        <v>566</v>
      </c>
      <c r="D179" s="936"/>
      <c r="E179" s="1832"/>
      <c r="F179" s="1225"/>
      <c r="G179" s="1767">
        <v>0</v>
      </c>
      <c r="H179" s="1767">
        <v>0</v>
      </c>
      <c r="I179" s="1767">
        <v>0</v>
      </c>
      <c r="J179" s="1767">
        <v>0</v>
      </c>
      <c r="K179" s="1767">
        <v>0</v>
      </c>
      <c r="L179" s="1767">
        <v>0</v>
      </c>
      <c r="M179" s="1767">
        <v>0</v>
      </c>
      <c r="N179" s="1767">
        <v>0</v>
      </c>
      <c r="O179" s="1767">
        <v>0</v>
      </c>
      <c r="P179" s="1767">
        <v>0</v>
      </c>
      <c r="Q179" s="1767">
        <v>0</v>
      </c>
      <c r="R179" s="1767">
        <v>0</v>
      </c>
      <c r="S179" s="1767">
        <v>0</v>
      </c>
      <c r="T179" s="1767">
        <v>0</v>
      </c>
      <c r="U179" s="1767">
        <v>0</v>
      </c>
      <c r="V179" s="1767">
        <v>0</v>
      </c>
      <c r="W179" s="1767">
        <v>0</v>
      </c>
      <c r="X179" s="1767">
        <v>0</v>
      </c>
      <c r="Y179" s="1767">
        <v>0</v>
      </c>
      <c r="Z179" s="1767">
        <v>0</v>
      </c>
      <c r="AA179" s="1767">
        <v>0</v>
      </c>
      <c r="AB179" s="1767">
        <v>0</v>
      </c>
      <c r="AC179" s="1767">
        <v>0</v>
      </c>
      <c r="AD179" s="1767">
        <v>0</v>
      </c>
      <c r="AE179" s="1767">
        <v>0</v>
      </c>
      <c r="AF179" s="1767">
        <v>0</v>
      </c>
      <c r="AG179" s="1767">
        <v>0</v>
      </c>
      <c r="AH179" s="1767">
        <v>0</v>
      </c>
      <c r="AI179" s="1767">
        <v>0</v>
      </c>
      <c r="AJ179" s="1767">
        <v>0</v>
      </c>
      <c r="AK179" s="1767">
        <v>0</v>
      </c>
      <c r="AL179" s="1767">
        <v>0</v>
      </c>
      <c r="AM179" s="1767">
        <v>0</v>
      </c>
      <c r="AN179" s="1767">
        <v>0</v>
      </c>
      <c r="AO179" s="1767">
        <v>0</v>
      </c>
      <c r="AP179" s="1767">
        <v>0</v>
      </c>
      <c r="AQ179" s="1767">
        <v>0</v>
      </c>
      <c r="AR179" s="1767">
        <v>0</v>
      </c>
      <c r="AS179" s="1767">
        <v>0</v>
      </c>
      <c r="AT179" s="1767">
        <v>0</v>
      </c>
      <c r="AU179" s="1767">
        <v>0</v>
      </c>
      <c r="AV179" s="1767">
        <v>0</v>
      </c>
      <c r="AW179" s="1767">
        <v>0</v>
      </c>
      <c r="AX179" s="1767">
        <v>0</v>
      </c>
      <c r="AY179" s="1767">
        <v>0</v>
      </c>
      <c r="AZ179" s="1767">
        <v>0</v>
      </c>
      <c r="BA179" s="1767">
        <v>0</v>
      </c>
      <c r="BB179" s="1767">
        <v>0</v>
      </c>
      <c r="BC179" s="1767">
        <v>0</v>
      </c>
      <c r="BD179" s="1767">
        <v>0</v>
      </c>
      <c r="BE179" s="1767">
        <v>0</v>
      </c>
      <c r="BF179" s="1767">
        <v>0</v>
      </c>
      <c r="BG179" s="1767">
        <v>0</v>
      </c>
      <c r="BH179" s="1767">
        <v>0</v>
      </c>
      <c r="BI179" s="1767">
        <v>0</v>
      </c>
      <c r="BJ179" s="1767">
        <v>0</v>
      </c>
      <c r="BK179" s="1767">
        <v>0</v>
      </c>
      <c r="BL179" s="1767">
        <v>0</v>
      </c>
      <c r="BM179" s="1767">
        <v>0</v>
      </c>
      <c r="BN179" s="1767">
        <v>0</v>
      </c>
      <c r="BO179" s="1767">
        <v>0</v>
      </c>
      <c r="BP179" s="1767">
        <v>0</v>
      </c>
      <c r="BQ179" s="1767">
        <v>0</v>
      </c>
      <c r="BR179" s="1767">
        <v>0</v>
      </c>
      <c r="BS179" s="1767">
        <v>0</v>
      </c>
      <c r="BT179" s="1767">
        <v>0</v>
      </c>
      <c r="BU179" s="1767">
        <v>0</v>
      </c>
      <c r="BV179" s="1767">
        <v>0</v>
      </c>
      <c r="BW179" s="1767">
        <v>0</v>
      </c>
      <c r="BX179" s="1767">
        <v>0</v>
      </c>
      <c r="BY179" s="1767">
        <v>0</v>
      </c>
      <c r="BZ179" s="1767">
        <v>0</v>
      </c>
      <c r="CA179" s="1767">
        <v>0</v>
      </c>
      <c r="CB179" s="1767">
        <v>0</v>
      </c>
      <c r="CC179" s="1767">
        <v>0</v>
      </c>
      <c r="CD179" s="1767">
        <v>0</v>
      </c>
      <c r="CE179" s="1767">
        <v>0</v>
      </c>
      <c r="CF179" s="1767">
        <v>0</v>
      </c>
      <c r="CG179" s="1767">
        <v>0</v>
      </c>
      <c r="CH179" s="1767">
        <v>0</v>
      </c>
      <c r="CI179" s="1767">
        <v>0</v>
      </c>
      <c r="CJ179" s="1767">
        <v>0</v>
      </c>
      <c r="CK179" s="1767">
        <v>0</v>
      </c>
      <c r="CL179" s="1767">
        <v>0</v>
      </c>
      <c r="CM179" s="1767">
        <v>0</v>
      </c>
      <c r="CN179" s="1767">
        <v>0</v>
      </c>
      <c r="CO179" s="1767">
        <v>0</v>
      </c>
      <c r="CP179" s="1767">
        <v>0</v>
      </c>
    </row>
    <row r="180" spans="1:94" ht="30" customHeight="1" thickBot="1" x14ac:dyDescent="0.25">
      <c r="A180" s="1888" t="s">
        <v>1309</v>
      </c>
      <c r="B180" s="1833" t="s">
        <v>1082</v>
      </c>
      <c r="C180" s="1781" t="s">
        <v>2527</v>
      </c>
      <c r="D180" s="945"/>
      <c r="E180" s="1836" t="s">
        <v>2321</v>
      </c>
      <c r="F180" s="1225"/>
      <c r="G180" s="1742"/>
      <c r="H180" s="1742"/>
      <c r="I180" s="1742"/>
      <c r="J180" s="1742"/>
      <c r="K180" s="1742"/>
      <c r="L180" s="1742"/>
      <c r="M180" s="1742"/>
      <c r="N180" s="1742"/>
      <c r="O180" s="1742"/>
      <c r="P180" s="1742"/>
      <c r="Q180" s="1742"/>
      <c r="R180" s="1742"/>
      <c r="S180" s="1742"/>
      <c r="T180" s="1742"/>
      <c r="U180" s="1742"/>
      <c r="V180" s="1742"/>
      <c r="W180" s="1742"/>
      <c r="X180" s="1742"/>
      <c r="Y180" s="1742"/>
      <c r="Z180" s="1742"/>
      <c r="AA180" s="1742"/>
      <c r="AB180" s="1742"/>
      <c r="AC180" s="1742"/>
      <c r="AD180" s="1742"/>
      <c r="AE180" s="1742"/>
      <c r="AF180" s="1742"/>
      <c r="AG180" s="1742"/>
      <c r="AH180" s="1742"/>
      <c r="AI180" s="1742"/>
      <c r="AJ180" s="1742"/>
      <c r="AK180" s="1742"/>
      <c r="AL180" s="1742"/>
      <c r="AM180" s="1742"/>
      <c r="AN180" s="1742"/>
      <c r="AO180" s="1742"/>
      <c r="AP180" s="1742"/>
      <c r="AQ180" s="1742"/>
      <c r="AR180" s="1742"/>
      <c r="AS180" s="1742"/>
      <c r="AT180" s="1742"/>
      <c r="AU180" s="1742"/>
      <c r="AV180" s="1742"/>
      <c r="AW180" s="1742"/>
      <c r="AX180" s="1742"/>
      <c r="AY180" s="1742"/>
      <c r="AZ180" s="1742"/>
      <c r="BA180" s="1742"/>
      <c r="BB180" s="1742"/>
      <c r="BC180" s="1742"/>
      <c r="BD180" s="1742"/>
      <c r="BE180" s="1742"/>
      <c r="BF180" s="1742"/>
      <c r="BG180" s="1742"/>
      <c r="BH180" s="1742"/>
      <c r="BI180" s="1742"/>
      <c r="BJ180" s="1742"/>
      <c r="BK180" s="1742"/>
      <c r="BL180" s="1742"/>
      <c r="BM180" s="1742"/>
      <c r="BN180" s="1742"/>
      <c r="BO180" s="1742"/>
      <c r="BP180" s="1742"/>
      <c r="BQ180" s="1742"/>
      <c r="BR180" s="1742"/>
      <c r="BS180" s="1742"/>
      <c r="BT180" s="1742"/>
      <c r="BU180" s="1742"/>
      <c r="BV180" s="1742"/>
      <c r="BW180" s="1742"/>
      <c r="BX180" s="1742"/>
      <c r="BY180" s="1742"/>
      <c r="BZ180" s="1742"/>
      <c r="CA180" s="1742"/>
      <c r="CB180" s="1742"/>
      <c r="CC180" s="1742"/>
      <c r="CD180" s="1742"/>
      <c r="CE180" s="1742"/>
      <c r="CF180" s="1742"/>
      <c r="CG180" s="1742"/>
      <c r="CH180" s="1742"/>
      <c r="CI180" s="1742"/>
      <c r="CJ180" s="1742"/>
      <c r="CK180" s="1742"/>
      <c r="CL180" s="1742"/>
      <c r="CM180" s="1742"/>
      <c r="CN180" s="1742"/>
      <c r="CO180" s="1742"/>
      <c r="CP180" s="1742"/>
    </row>
    <row r="181" spans="1:94" ht="15" customHeight="1" x14ac:dyDescent="0.2">
      <c r="A181" s="1847"/>
      <c r="B181" s="1834"/>
      <c r="C181" s="669" t="s">
        <v>572</v>
      </c>
      <c r="D181" s="936"/>
      <c r="E181" s="1837"/>
      <c r="F181" s="1225"/>
      <c r="G181" s="1767">
        <v>0</v>
      </c>
      <c r="H181" s="1767">
        <v>0</v>
      </c>
      <c r="I181" s="1767">
        <v>0</v>
      </c>
      <c r="J181" s="1767">
        <v>0</v>
      </c>
      <c r="K181" s="1767">
        <v>0</v>
      </c>
      <c r="L181" s="1767">
        <v>0</v>
      </c>
      <c r="M181" s="1767">
        <v>0</v>
      </c>
      <c r="N181" s="1767">
        <v>0</v>
      </c>
      <c r="O181" s="1767">
        <v>0</v>
      </c>
      <c r="P181" s="1767">
        <v>0</v>
      </c>
      <c r="Q181" s="1767">
        <v>0</v>
      </c>
      <c r="R181" s="1767">
        <v>0</v>
      </c>
      <c r="S181" s="1767">
        <v>0</v>
      </c>
      <c r="T181" s="1767">
        <v>0</v>
      </c>
      <c r="U181" s="1767">
        <v>0</v>
      </c>
      <c r="V181" s="1767">
        <v>0</v>
      </c>
      <c r="W181" s="1767">
        <v>0</v>
      </c>
      <c r="X181" s="1767">
        <v>0</v>
      </c>
      <c r="Y181" s="1767">
        <v>0</v>
      </c>
      <c r="Z181" s="1767">
        <v>0</v>
      </c>
      <c r="AA181" s="1767">
        <v>0</v>
      </c>
      <c r="AB181" s="1767">
        <v>0</v>
      </c>
      <c r="AC181" s="1767">
        <v>0</v>
      </c>
      <c r="AD181" s="1767">
        <v>0</v>
      </c>
      <c r="AE181" s="1767">
        <v>0</v>
      </c>
      <c r="AF181" s="1767">
        <v>0</v>
      </c>
      <c r="AG181" s="1767">
        <v>0</v>
      </c>
      <c r="AH181" s="1767">
        <v>0</v>
      </c>
      <c r="AI181" s="1767">
        <v>0</v>
      </c>
      <c r="AJ181" s="1767">
        <v>0</v>
      </c>
      <c r="AK181" s="1767">
        <v>0</v>
      </c>
      <c r="AL181" s="1767">
        <v>0</v>
      </c>
      <c r="AM181" s="1767">
        <v>0</v>
      </c>
      <c r="AN181" s="1767">
        <v>0</v>
      </c>
      <c r="AO181" s="1767">
        <v>0</v>
      </c>
      <c r="AP181" s="1767">
        <v>0</v>
      </c>
      <c r="AQ181" s="1767">
        <v>0</v>
      </c>
      <c r="AR181" s="1767">
        <v>0</v>
      </c>
      <c r="AS181" s="1767">
        <v>0</v>
      </c>
      <c r="AT181" s="1767">
        <v>0</v>
      </c>
      <c r="AU181" s="1767">
        <v>0</v>
      </c>
      <c r="AV181" s="1767">
        <v>0</v>
      </c>
      <c r="AW181" s="1767">
        <v>0</v>
      </c>
      <c r="AX181" s="1767">
        <v>0</v>
      </c>
      <c r="AY181" s="1767">
        <v>0</v>
      </c>
      <c r="AZ181" s="1767">
        <v>0</v>
      </c>
      <c r="BA181" s="1767">
        <v>0</v>
      </c>
      <c r="BB181" s="1767">
        <v>0</v>
      </c>
      <c r="BC181" s="1767">
        <v>0</v>
      </c>
      <c r="BD181" s="1767">
        <v>0</v>
      </c>
      <c r="BE181" s="1767">
        <v>0</v>
      </c>
      <c r="BF181" s="1767">
        <v>0</v>
      </c>
      <c r="BG181" s="1767">
        <v>0</v>
      </c>
      <c r="BH181" s="1767">
        <v>0</v>
      </c>
      <c r="BI181" s="1767">
        <v>0</v>
      </c>
      <c r="BJ181" s="1767">
        <v>0</v>
      </c>
      <c r="BK181" s="1767">
        <v>0</v>
      </c>
      <c r="BL181" s="1767">
        <v>0</v>
      </c>
      <c r="BM181" s="1767">
        <v>0</v>
      </c>
      <c r="BN181" s="1767">
        <v>0</v>
      </c>
      <c r="BO181" s="1767">
        <v>0</v>
      </c>
      <c r="BP181" s="1767">
        <v>0</v>
      </c>
      <c r="BQ181" s="1767">
        <v>0</v>
      </c>
      <c r="BR181" s="1767">
        <v>0</v>
      </c>
      <c r="BS181" s="1767">
        <v>0</v>
      </c>
      <c r="BT181" s="1767">
        <v>0</v>
      </c>
      <c r="BU181" s="1767">
        <v>0</v>
      </c>
      <c r="BV181" s="1767">
        <v>0</v>
      </c>
      <c r="BW181" s="1767">
        <v>0</v>
      </c>
      <c r="BX181" s="1767">
        <v>0</v>
      </c>
      <c r="BY181" s="1767">
        <v>0</v>
      </c>
      <c r="BZ181" s="1767">
        <v>0</v>
      </c>
      <c r="CA181" s="1767">
        <v>0</v>
      </c>
      <c r="CB181" s="1767">
        <v>0</v>
      </c>
      <c r="CC181" s="1767">
        <v>0</v>
      </c>
      <c r="CD181" s="1767">
        <v>0</v>
      </c>
      <c r="CE181" s="1767">
        <v>0</v>
      </c>
      <c r="CF181" s="1767">
        <v>0</v>
      </c>
      <c r="CG181" s="1767">
        <v>0</v>
      </c>
      <c r="CH181" s="1767">
        <v>0</v>
      </c>
      <c r="CI181" s="1767">
        <v>0</v>
      </c>
      <c r="CJ181" s="1767">
        <v>0</v>
      </c>
      <c r="CK181" s="1767">
        <v>0</v>
      </c>
      <c r="CL181" s="1767">
        <v>0</v>
      </c>
      <c r="CM181" s="1767">
        <v>0</v>
      </c>
      <c r="CN181" s="1767">
        <v>0</v>
      </c>
      <c r="CO181" s="1767">
        <v>0</v>
      </c>
      <c r="CP181" s="1767">
        <v>0</v>
      </c>
    </row>
    <row r="182" spans="1:94" ht="15" customHeight="1" x14ac:dyDescent="0.2">
      <c r="A182" s="1847"/>
      <c r="B182" s="1834"/>
      <c r="C182" s="663" t="s">
        <v>573</v>
      </c>
      <c r="D182" s="936"/>
      <c r="E182" s="1837"/>
      <c r="F182" s="1225"/>
      <c r="G182" s="1767">
        <v>0</v>
      </c>
      <c r="H182" s="1767">
        <v>0</v>
      </c>
      <c r="I182" s="1767">
        <v>0</v>
      </c>
      <c r="J182" s="1767">
        <v>0</v>
      </c>
      <c r="K182" s="1767">
        <v>0</v>
      </c>
      <c r="L182" s="1767">
        <v>0</v>
      </c>
      <c r="M182" s="1767">
        <v>0</v>
      </c>
      <c r="N182" s="1767">
        <v>0</v>
      </c>
      <c r="O182" s="1767">
        <v>0</v>
      </c>
      <c r="P182" s="1767">
        <v>0</v>
      </c>
      <c r="Q182" s="1767">
        <v>0</v>
      </c>
      <c r="R182" s="1767">
        <v>0</v>
      </c>
      <c r="S182" s="1767">
        <v>0</v>
      </c>
      <c r="T182" s="1767">
        <v>0</v>
      </c>
      <c r="U182" s="1767">
        <v>0</v>
      </c>
      <c r="V182" s="1767">
        <v>0</v>
      </c>
      <c r="W182" s="1767">
        <v>0</v>
      </c>
      <c r="X182" s="1767">
        <v>0</v>
      </c>
      <c r="Y182" s="1767">
        <v>0</v>
      </c>
      <c r="Z182" s="1767">
        <v>0</v>
      </c>
      <c r="AA182" s="1767">
        <v>0</v>
      </c>
      <c r="AB182" s="1767">
        <v>0</v>
      </c>
      <c r="AC182" s="1767">
        <v>0</v>
      </c>
      <c r="AD182" s="1767">
        <v>0</v>
      </c>
      <c r="AE182" s="1767">
        <v>0</v>
      </c>
      <c r="AF182" s="1767">
        <v>0</v>
      </c>
      <c r="AG182" s="1767">
        <v>0</v>
      </c>
      <c r="AH182" s="1767">
        <v>0</v>
      </c>
      <c r="AI182" s="1767">
        <v>0</v>
      </c>
      <c r="AJ182" s="1767">
        <v>0</v>
      </c>
      <c r="AK182" s="1767">
        <v>0</v>
      </c>
      <c r="AL182" s="1767">
        <v>0</v>
      </c>
      <c r="AM182" s="1767">
        <v>0</v>
      </c>
      <c r="AN182" s="1767">
        <v>0</v>
      </c>
      <c r="AO182" s="1767">
        <v>0</v>
      </c>
      <c r="AP182" s="1767">
        <v>0</v>
      </c>
      <c r="AQ182" s="1767">
        <v>0</v>
      </c>
      <c r="AR182" s="1767">
        <v>0</v>
      </c>
      <c r="AS182" s="1767">
        <v>0</v>
      </c>
      <c r="AT182" s="1767">
        <v>0</v>
      </c>
      <c r="AU182" s="1767">
        <v>0</v>
      </c>
      <c r="AV182" s="1767">
        <v>0</v>
      </c>
      <c r="AW182" s="1767">
        <v>0</v>
      </c>
      <c r="AX182" s="1767">
        <v>0</v>
      </c>
      <c r="AY182" s="1767">
        <v>0</v>
      </c>
      <c r="AZ182" s="1767">
        <v>0</v>
      </c>
      <c r="BA182" s="1767">
        <v>0</v>
      </c>
      <c r="BB182" s="1767">
        <v>0</v>
      </c>
      <c r="BC182" s="1767">
        <v>0</v>
      </c>
      <c r="BD182" s="1767">
        <v>0</v>
      </c>
      <c r="BE182" s="1767">
        <v>0</v>
      </c>
      <c r="BF182" s="1767">
        <v>0</v>
      </c>
      <c r="BG182" s="1767">
        <v>0</v>
      </c>
      <c r="BH182" s="1767">
        <v>0</v>
      </c>
      <c r="BI182" s="1767">
        <v>0</v>
      </c>
      <c r="BJ182" s="1767">
        <v>0</v>
      </c>
      <c r="BK182" s="1767">
        <v>0</v>
      </c>
      <c r="BL182" s="1767">
        <v>0</v>
      </c>
      <c r="BM182" s="1767">
        <v>0</v>
      </c>
      <c r="BN182" s="1767">
        <v>0</v>
      </c>
      <c r="BO182" s="1767">
        <v>0</v>
      </c>
      <c r="BP182" s="1767">
        <v>0</v>
      </c>
      <c r="BQ182" s="1767">
        <v>0</v>
      </c>
      <c r="BR182" s="1767">
        <v>0</v>
      </c>
      <c r="BS182" s="1767">
        <v>0</v>
      </c>
      <c r="BT182" s="1767">
        <v>0</v>
      </c>
      <c r="BU182" s="1767">
        <v>0</v>
      </c>
      <c r="BV182" s="1767">
        <v>0</v>
      </c>
      <c r="BW182" s="1767">
        <v>0</v>
      </c>
      <c r="BX182" s="1767">
        <v>0</v>
      </c>
      <c r="BY182" s="1767">
        <v>0</v>
      </c>
      <c r="BZ182" s="1767">
        <v>0</v>
      </c>
      <c r="CA182" s="1767">
        <v>0</v>
      </c>
      <c r="CB182" s="1767">
        <v>0</v>
      </c>
      <c r="CC182" s="1767">
        <v>0</v>
      </c>
      <c r="CD182" s="1767">
        <v>0</v>
      </c>
      <c r="CE182" s="1767">
        <v>0</v>
      </c>
      <c r="CF182" s="1767">
        <v>0</v>
      </c>
      <c r="CG182" s="1767">
        <v>0</v>
      </c>
      <c r="CH182" s="1767">
        <v>0</v>
      </c>
      <c r="CI182" s="1767">
        <v>0</v>
      </c>
      <c r="CJ182" s="1767">
        <v>0</v>
      </c>
      <c r="CK182" s="1767">
        <v>0</v>
      </c>
      <c r="CL182" s="1767">
        <v>0</v>
      </c>
      <c r="CM182" s="1767">
        <v>0</v>
      </c>
      <c r="CN182" s="1767">
        <v>0</v>
      </c>
      <c r="CO182" s="1767">
        <v>0</v>
      </c>
      <c r="CP182" s="1767">
        <v>0</v>
      </c>
    </row>
    <row r="183" spans="1:94" ht="15" customHeight="1" x14ac:dyDescent="0.2">
      <c r="A183" s="1847"/>
      <c r="B183" s="1834"/>
      <c r="C183" s="663" t="s">
        <v>574</v>
      </c>
      <c r="D183" s="936"/>
      <c r="E183" s="1837"/>
      <c r="F183" s="1225"/>
      <c r="G183" s="1767">
        <v>0</v>
      </c>
      <c r="H183" s="1767">
        <v>0</v>
      </c>
      <c r="I183" s="1767">
        <v>0</v>
      </c>
      <c r="J183" s="1767">
        <v>0</v>
      </c>
      <c r="K183" s="1767">
        <v>0</v>
      </c>
      <c r="L183" s="1767">
        <v>0</v>
      </c>
      <c r="M183" s="1767">
        <v>0</v>
      </c>
      <c r="N183" s="1767">
        <v>0</v>
      </c>
      <c r="O183" s="1767">
        <v>0</v>
      </c>
      <c r="P183" s="1767">
        <v>0</v>
      </c>
      <c r="Q183" s="1767">
        <v>0</v>
      </c>
      <c r="R183" s="1767">
        <v>0</v>
      </c>
      <c r="S183" s="1767">
        <v>0</v>
      </c>
      <c r="T183" s="1767">
        <v>0</v>
      </c>
      <c r="U183" s="1767">
        <v>0</v>
      </c>
      <c r="V183" s="1767">
        <v>0</v>
      </c>
      <c r="W183" s="1767">
        <v>0</v>
      </c>
      <c r="X183" s="1767">
        <v>0</v>
      </c>
      <c r="Y183" s="1767">
        <v>0</v>
      </c>
      <c r="Z183" s="1767">
        <v>0</v>
      </c>
      <c r="AA183" s="1767">
        <v>0</v>
      </c>
      <c r="AB183" s="1767">
        <v>0</v>
      </c>
      <c r="AC183" s="1767">
        <v>0</v>
      </c>
      <c r="AD183" s="1767">
        <v>0</v>
      </c>
      <c r="AE183" s="1767">
        <v>0</v>
      </c>
      <c r="AF183" s="1767">
        <v>0</v>
      </c>
      <c r="AG183" s="1767">
        <v>0</v>
      </c>
      <c r="AH183" s="1767">
        <v>0</v>
      </c>
      <c r="AI183" s="1767">
        <v>0</v>
      </c>
      <c r="AJ183" s="1767">
        <v>0</v>
      </c>
      <c r="AK183" s="1767">
        <v>0</v>
      </c>
      <c r="AL183" s="1767">
        <v>0</v>
      </c>
      <c r="AM183" s="1767">
        <v>0</v>
      </c>
      <c r="AN183" s="1767">
        <v>0</v>
      </c>
      <c r="AO183" s="1767">
        <v>0</v>
      </c>
      <c r="AP183" s="1767">
        <v>0</v>
      </c>
      <c r="AQ183" s="1767">
        <v>0</v>
      </c>
      <c r="AR183" s="1767">
        <v>0</v>
      </c>
      <c r="AS183" s="1767">
        <v>0</v>
      </c>
      <c r="AT183" s="1767">
        <v>0</v>
      </c>
      <c r="AU183" s="1767">
        <v>0</v>
      </c>
      <c r="AV183" s="1767">
        <v>0</v>
      </c>
      <c r="AW183" s="1767">
        <v>0</v>
      </c>
      <c r="AX183" s="1767">
        <v>0</v>
      </c>
      <c r="AY183" s="1767">
        <v>0</v>
      </c>
      <c r="AZ183" s="1767">
        <v>0</v>
      </c>
      <c r="BA183" s="1767">
        <v>0</v>
      </c>
      <c r="BB183" s="1767">
        <v>0</v>
      </c>
      <c r="BC183" s="1767">
        <v>0</v>
      </c>
      <c r="BD183" s="1767">
        <v>0</v>
      </c>
      <c r="BE183" s="1767">
        <v>0</v>
      </c>
      <c r="BF183" s="1767">
        <v>0</v>
      </c>
      <c r="BG183" s="1767">
        <v>0</v>
      </c>
      <c r="BH183" s="1767">
        <v>0</v>
      </c>
      <c r="BI183" s="1767">
        <v>0</v>
      </c>
      <c r="BJ183" s="1767">
        <v>0</v>
      </c>
      <c r="BK183" s="1767">
        <v>0</v>
      </c>
      <c r="BL183" s="1767">
        <v>0</v>
      </c>
      <c r="BM183" s="1767">
        <v>0</v>
      </c>
      <c r="BN183" s="1767">
        <v>0</v>
      </c>
      <c r="BO183" s="1767">
        <v>0</v>
      </c>
      <c r="BP183" s="1767">
        <v>0</v>
      </c>
      <c r="BQ183" s="1767">
        <v>0</v>
      </c>
      <c r="BR183" s="1767">
        <v>0</v>
      </c>
      <c r="BS183" s="1767">
        <v>0</v>
      </c>
      <c r="BT183" s="1767">
        <v>0</v>
      </c>
      <c r="BU183" s="1767">
        <v>0</v>
      </c>
      <c r="BV183" s="1767">
        <v>0</v>
      </c>
      <c r="BW183" s="1767">
        <v>0</v>
      </c>
      <c r="BX183" s="1767">
        <v>0</v>
      </c>
      <c r="BY183" s="1767">
        <v>0</v>
      </c>
      <c r="BZ183" s="1767">
        <v>0</v>
      </c>
      <c r="CA183" s="1767">
        <v>0</v>
      </c>
      <c r="CB183" s="1767">
        <v>0</v>
      </c>
      <c r="CC183" s="1767">
        <v>0</v>
      </c>
      <c r="CD183" s="1767">
        <v>0</v>
      </c>
      <c r="CE183" s="1767">
        <v>0</v>
      </c>
      <c r="CF183" s="1767">
        <v>0</v>
      </c>
      <c r="CG183" s="1767">
        <v>0</v>
      </c>
      <c r="CH183" s="1767">
        <v>0</v>
      </c>
      <c r="CI183" s="1767">
        <v>0</v>
      </c>
      <c r="CJ183" s="1767">
        <v>0</v>
      </c>
      <c r="CK183" s="1767">
        <v>0</v>
      </c>
      <c r="CL183" s="1767">
        <v>0</v>
      </c>
      <c r="CM183" s="1767">
        <v>0</v>
      </c>
      <c r="CN183" s="1767">
        <v>0</v>
      </c>
      <c r="CO183" s="1767">
        <v>0</v>
      </c>
      <c r="CP183" s="1767">
        <v>0</v>
      </c>
    </row>
    <row r="184" spans="1:94" ht="15" customHeight="1" x14ac:dyDescent="0.2">
      <c r="A184" s="1847"/>
      <c r="B184" s="1834"/>
      <c r="C184" s="663" t="s">
        <v>575</v>
      </c>
      <c r="D184" s="936"/>
      <c r="E184" s="1837"/>
      <c r="F184" s="1225"/>
      <c r="G184" s="1767">
        <v>0</v>
      </c>
      <c r="H184" s="1767">
        <v>0</v>
      </c>
      <c r="I184" s="1767">
        <v>0</v>
      </c>
      <c r="J184" s="1767">
        <v>0</v>
      </c>
      <c r="K184" s="1767">
        <v>0</v>
      </c>
      <c r="L184" s="1767">
        <v>0</v>
      </c>
      <c r="M184" s="1767">
        <v>0</v>
      </c>
      <c r="N184" s="1767">
        <v>0</v>
      </c>
      <c r="O184" s="1767">
        <v>0</v>
      </c>
      <c r="P184" s="1767">
        <v>0</v>
      </c>
      <c r="Q184" s="1767">
        <v>0</v>
      </c>
      <c r="R184" s="1767">
        <v>0</v>
      </c>
      <c r="S184" s="1767">
        <v>0</v>
      </c>
      <c r="T184" s="1767">
        <v>0</v>
      </c>
      <c r="U184" s="1767">
        <v>0</v>
      </c>
      <c r="V184" s="1767">
        <v>0</v>
      </c>
      <c r="W184" s="1767">
        <v>0</v>
      </c>
      <c r="X184" s="1767">
        <v>0</v>
      </c>
      <c r="Y184" s="1767">
        <v>0</v>
      </c>
      <c r="Z184" s="1767">
        <v>0</v>
      </c>
      <c r="AA184" s="1767">
        <v>0</v>
      </c>
      <c r="AB184" s="1767">
        <v>0</v>
      </c>
      <c r="AC184" s="1767">
        <v>0</v>
      </c>
      <c r="AD184" s="1767">
        <v>0</v>
      </c>
      <c r="AE184" s="1767">
        <v>0</v>
      </c>
      <c r="AF184" s="1767">
        <v>0</v>
      </c>
      <c r="AG184" s="1767">
        <v>0</v>
      </c>
      <c r="AH184" s="1767">
        <v>0</v>
      </c>
      <c r="AI184" s="1767">
        <v>0</v>
      </c>
      <c r="AJ184" s="1767">
        <v>0</v>
      </c>
      <c r="AK184" s="1767">
        <v>0</v>
      </c>
      <c r="AL184" s="1767">
        <v>0</v>
      </c>
      <c r="AM184" s="1767">
        <v>0</v>
      </c>
      <c r="AN184" s="1767">
        <v>0</v>
      </c>
      <c r="AO184" s="1767">
        <v>0</v>
      </c>
      <c r="AP184" s="1767">
        <v>0</v>
      </c>
      <c r="AQ184" s="1767">
        <v>0</v>
      </c>
      <c r="AR184" s="1767">
        <v>0</v>
      </c>
      <c r="AS184" s="1767">
        <v>0</v>
      </c>
      <c r="AT184" s="1767">
        <v>0</v>
      </c>
      <c r="AU184" s="1767">
        <v>0</v>
      </c>
      <c r="AV184" s="1767">
        <v>0</v>
      </c>
      <c r="AW184" s="1767">
        <v>0</v>
      </c>
      <c r="AX184" s="1767">
        <v>0</v>
      </c>
      <c r="AY184" s="1767">
        <v>0</v>
      </c>
      <c r="AZ184" s="1767">
        <v>0</v>
      </c>
      <c r="BA184" s="1767">
        <v>0</v>
      </c>
      <c r="BB184" s="1767">
        <v>0</v>
      </c>
      <c r="BC184" s="1767">
        <v>0</v>
      </c>
      <c r="BD184" s="1767">
        <v>0</v>
      </c>
      <c r="BE184" s="1767">
        <v>0</v>
      </c>
      <c r="BF184" s="1767">
        <v>0</v>
      </c>
      <c r="BG184" s="1767">
        <v>0</v>
      </c>
      <c r="BH184" s="1767">
        <v>0</v>
      </c>
      <c r="BI184" s="1767">
        <v>0</v>
      </c>
      <c r="BJ184" s="1767">
        <v>0</v>
      </c>
      <c r="BK184" s="1767">
        <v>0</v>
      </c>
      <c r="BL184" s="1767">
        <v>0</v>
      </c>
      <c r="BM184" s="1767">
        <v>0</v>
      </c>
      <c r="BN184" s="1767">
        <v>0</v>
      </c>
      <c r="BO184" s="1767">
        <v>0</v>
      </c>
      <c r="BP184" s="1767">
        <v>0</v>
      </c>
      <c r="BQ184" s="1767">
        <v>0</v>
      </c>
      <c r="BR184" s="1767">
        <v>0</v>
      </c>
      <c r="BS184" s="1767">
        <v>0</v>
      </c>
      <c r="BT184" s="1767">
        <v>0</v>
      </c>
      <c r="BU184" s="1767">
        <v>0</v>
      </c>
      <c r="BV184" s="1767">
        <v>0</v>
      </c>
      <c r="BW184" s="1767">
        <v>0</v>
      </c>
      <c r="BX184" s="1767">
        <v>0</v>
      </c>
      <c r="BY184" s="1767">
        <v>0</v>
      </c>
      <c r="BZ184" s="1767">
        <v>0</v>
      </c>
      <c r="CA184" s="1767">
        <v>0</v>
      </c>
      <c r="CB184" s="1767">
        <v>0</v>
      </c>
      <c r="CC184" s="1767">
        <v>0</v>
      </c>
      <c r="CD184" s="1767">
        <v>0</v>
      </c>
      <c r="CE184" s="1767">
        <v>0</v>
      </c>
      <c r="CF184" s="1767">
        <v>0</v>
      </c>
      <c r="CG184" s="1767">
        <v>0</v>
      </c>
      <c r="CH184" s="1767">
        <v>0</v>
      </c>
      <c r="CI184" s="1767">
        <v>0</v>
      </c>
      <c r="CJ184" s="1767">
        <v>0</v>
      </c>
      <c r="CK184" s="1767">
        <v>0</v>
      </c>
      <c r="CL184" s="1767">
        <v>0</v>
      </c>
      <c r="CM184" s="1767">
        <v>0</v>
      </c>
      <c r="CN184" s="1767">
        <v>0</v>
      </c>
      <c r="CO184" s="1767">
        <v>0</v>
      </c>
      <c r="CP184" s="1767">
        <v>0</v>
      </c>
    </row>
    <row r="185" spans="1:94" ht="15" customHeight="1" x14ac:dyDescent="0.2">
      <c r="A185" s="1847"/>
      <c r="B185" s="1834"/>
      <c r="C185" s="663" t="s">
        <v>553</v>
      </c>
      <c r="D185" s="936"/>
      <c r="E185" s="1837"/>
      <c r="F185" s="1225"/>
      <c r="G185" s="1767">
        <v>0</v>
      </c>
      <c r="H185" s="1767">
        <v>0</v>
      </c>
      <c r="I185" s="1767">
        <v>0</v>
      </c>
      <c r="J185" s="1767">
        <v>0</v>
      </c>
      <c r="K185" s="1767">
        <v>0</v>
      </c>
      <c r="L185" s="1767">
        <v>0</v>
      </c>
      <c r="M185" s="1767">
        <v>0</v>
      </c>
      <c r="N185" s="1767">
        <v>0</v>
      </c>
      <c r="O185" s="1767">
        <v>0</v>
      </c>
      <c r="P185" s="1767">
        <v>0</v>
      </c>
      <c r="Q185" s="1767">
        <v>0</v>
      </c>
      <c r="R185" s="1767">
        <v>0</v>
      </c>
      <c r="S185" s="1767">
        <v>0</v>
      </c>
      <c r="T185" s="1767">
        <v>0</v>
      </c>
      <c r="U185" s="1767">
        <v>0</v>
      </c>
      <c r="V185" s="1767">
        <v>0</v>
      </c>
      <c r="W185" s="1767">
        <v>0</v>
      </c>
      <c r="X185" s="1767">
        <v>0</v>
      </c>
      <c r="Y185" s="1767">
        <v>0</v>
      </c>
      <c r="Z185" s="1767">
        <v>0</v>
      </c>
      <c r="AA185" s="1767">
        <v>0</v>
      </c>
      <c r="AB185" s="1767">
        <v>0</v>
      </c>
      <c r="AC185" s="1767">
        <v>0</v>
      </c>
      <c r="AD185" s="1767">
        <v>0</v>
      </c>
      <c r="AE185" s="1767">
        <v>0</v>
      </c>
      <c r="AF185" s="1767">
        <v>0</v>
      </c>
      <c r="AG185" s="1767">
        <v>0</v>
      </c>
      <c r="AH185" s="1767">
        <v>0</v>
      </c>
      <c r="AI185" s="1767">
        <v>0</v>
      </c>
      <c r="AJ185" s="1767">
        <v>0</v>
      </c>
      <c r="AK185" s="1767">
        <v>0</v>
      </c>
      <c r="AL185" s="1767">
        <v>0</v>
      </c>
      <c r="AM185" s="1767">
        <v>0</v>
      </c>
      <c r="AN185" s="1767">
        <v>0</v>
      </c>
      <c r="AO185" s="1767">
        <v>0</v>
      </c>
      <c r="AP185" s="1767">
        <v>0</v>
      </c>
      <c r="AQ185" s="1767">
        <v>0</v>
      </c>
      <c r="AR185" s="1767">
        <v>0</v>
      </c>
      <c r="AS185" s="1767">
        <v>0</v>
      </c>
      <c r="AT185" s="1767">
        <v>0</v>
      </c>
      <c r="AU185" s="1767">
        <v>0</v>
      </c>
      <c r="AV185" s="1767">
        <v>0</v>
      </c>
      <c r="AW185" s="1767">
        <v>0</v>
      </c>
      <c r="AX185" s="1767">
        <v>0</v>
      </c>
      <c r="AY185" s="1767">
        <v>0</v>
      </c>
      <c r="AZ185" s="1767">
        <v>0</v>
      </c>
      <c r="BA185" s="1767">
        <v>0</v>
      </c>
      <c r="BB185" s="1767">
        <v>0</v>
      </c>
      <c r="BC185" s="1767">
        <v>0</v>
      </c>
      <c r="BD185" s="1767">
        <v>0</v>
      </c>
      <c r="BE185" s="1767">
        <v>0</v>
      </c>
      <c r="BF185" s="1767">
        <v>0</v>
      </c>
      <c r="BG185" s="1767">
        <v>0</v>
      </c>
      <c r="BH185" s="1767">
        <v>0</v>
      </c>
      <c r="BI185" s="1767">
        <v>0</v>
      </c>
      <c r="BJ185" s="1767">
        <v>0</v>
      </c>
      <c r="BK185" s="1767">
        <v>0</v>
      </c>
      <c r="BL185" s="1767">
        <v>0</v>
      </c>
      <c r="BM185" s="1767">
        <v>0</v>
      </c>
      <c r="BN185" s="1767">
        <v>0</v>
      </c>
      <c r="BO185" s="1767">
        <v>0</v>
      </c>
      <c r="BP185" s="1767">
        <v>0</v>
      </c>
      <c r="BQ185" s="1767">
        <v>0</v>
      </c>
      <c r="BR185" s="1767">
        <v>0</v>
      </c>
      <c r="BS185" s="1767">
        <v>0</v>
      </c>
      <c r="BT185" s="1767">
        <v>0</v>
      </c>
      <c r="BU185" s="1767">
        <v>0</v>
      </c>
      <c r="BV185" s="1767">
        <v>0</v>
      </c>
      <c r="BW185" s="1767">
        <v>0</v>
      </c>
      <c r="BX185" s="1767">
        <v>0</v>
      </c>
      <c r="BY185" s="1767">
        <v>0</v>
      </c>
      <c r="BZ185" s="1767">
        <v>0</v>
      </c>
      <c r="CA185" s="1767">
        <v>0</v>
      </c>
      <c r="CB185" s="1767">
        <v>0</v>
      </c>
      <c r="CC185" s="1767">
        <v>0</v>
      </c>
      <c r="CD185" s="1767">
        <v>0</v>
      </c>
      <c r="CE185" s="1767">
        <v>0</v>
      </c>
      <c r="CF185" s="1767">
        <v>0</v>
      </c>
      <c r="CG185" s="1767">
        <v>0</v>
      </c>
      <c r="CH185" s="1767">
        <v>0</v>
      </c>
      <c r="CI185" s="1767">
        <v>0</v>
      </c>
      <c r="CJ185" s="1767">
        <v>0</v>
      </c>
      <c r="CK185" s="1767">
        <v>0</v>
      </c>
      <c r="CL185" s="1767">
        <v>0</v>
      </c>
      <c r="CM185" s="1767">
        <v>0</v>
      </c>
      <c r="CN185" s="1767">
        <v>0</v>
      </c>
      <c r="CO185" s="1767">
        <v>0</v>
      </c>
      <c r="CP185" s="1767">
        <v>0</v>
      </c>
    </row>
    <row r="186" spans="1:94" ht="15" customHeight="1" thickBot="1" x14ac:dyDescent="0.25">
      <c r="A186" s="1847"/>
      <c r="B186" s="1834"/>
      <c r="C186" s="649" t="s">
        <v>576</v>
      </c>
      <c r="D186" s="949"/>
      <c r="E186" s="1837"/>
      <c r="F186" s="1225"/>
      <c r="G186" s="1767">
        <v>0</v>
      </c>
      <c r="H186" s="1767">
        <v>0</v>
      </c>
      <c r="I186" s="1767">
        <v>0</v>
      </c>
      <c r="J186" s="1767">
        <v>0</v>
      </c>
      <c r="K186" s="1767">
        <v>0</v>
      </c>
      <c r="L186" s="1767">
        <v>0</v>
      </c>
      <c r="M186" s="1767">
        <v>0</v>
      </c>
      <c r="N186" s="1767">
        <v>0</v>
      </c>
      <c r="O186" s="1767">
        <v>0</v>
      </c>
      <c r="P186" s="1767">
        <v>0</v>
      </c>
      <c r="Q186" s="1767">
        <v>0</v>
      </c>
      <c r="R186" s="1767">
        <v>0</v>
      </c>
      <c r="S186" s="1767">
        <v>0</v>
      </c>
      <c r="T186" s="1767">
        <v>0</v>
      </c>
      <c r="U186" s="1767">
        <v>0</v>
      </c>
      <c r="V186" s="1767">
        <v>0</v>
      </c>
      <c r="W186" s="1767">
        <v>0</v>
      </c>
      <c r="X186" s="1767">
        <v>0</v>
      </c>
      <c r="Y186" s="1767">
        <v>0</v>
      </c>
      <c r="Z186" s="1767">
        <v>0</v>
      </c>
      <c r="AA186" s="1767">
        <v>0</v>
      </c>
      <c r="AB186" s="1767">
        <v>0</v>
      </c>
      <c r="AC186" s="1767">
        <v>0</v>
      </c>
      <c r="AD186" s="1767">
        <v>0</v>
      </c>
      <c r="AE186" s="1767">
        <v>0</v>
      </c>
      <c r="AF186" s="1767">
        <v>0</v>
      </c>
      <c r="AG186" s="1767">
        <v>0</v>
      </c>
      <c r="AH186" s="1767">
        <v>0</v>
      </c>
      <c r="AI186" s="1767">
        <v>0</v>
      </c>
      <c r="AJ186" s="1767">
        <v>0</v>
      </c>
      <c r="AK186" s="1767">
        <v>0</v>
      </c>
      <c r="AL186" s="1767">
        <v>0</v>
      </c>
      <c r="AM186" s="1767">
        <v>0</v>
      </c>
      <c r="AN186" s="1767">
        <v>0</v>
      </c>
      <c r="AO186" s="1767">
        <v>0</v>
      </c>
      <c r="AP186" s="1767">
        <v>0</v>
      </c>
      <c r="AQ186" s="1767">
        <v>0</v>
      </c>
      <c r="AR186" s="1767">
        <v>0</v>
      </c>
      <c r="AS186" s="1767">
        <v>0</v>
      </c>
      <c r="AT186" s="1767">
        <v>0</v>
      </c>
      <c r="AU186" s="1767">
        <v>0</v>
      </c>
      <c r="AV186" s="1767">
        <v>0</v>
      </c>
      <c r="AW186" s="1767">
        <v>0</v>
      </c>
      <c r="AX186" s="1767">
        <v>0</v>
      </c>
      <c r="AY186" s="1767">
        <v>0</v>
      </c>
      <c r="AZ186" s="1767">
        <v>0</v>
      </c>
      <c r="BA186" s="1767">
        <v>0</v>
      </c>
      <c r="BB186" s="1767">
        <v>0</v>
      </c>
      <c r="BC186" s="1767">
        <v>0</v>
      </c>
      <c r="BD186" s="1767">
        <v>0</v>
      </c>
      <c r="BE186" s="1767">
        <v>0</v>
      </c>
      <c r="BF186" s="1767">
        <v>0</v>
      </c>
      <c r="BG186" s="1767">
        <v>0</v>
      </c>
      <c r="BH186" s="1767">
        <v>0</v>
      </c>
      <c r="BI186" s="1767">
        <v>0</v>
      </c>
      <c r="BJ186" s="1767">
        <v>0</v>
      </c>
      <c r="BK186" s="1767">
        <v>0</v>
      </c>
      <c r="BL186" s="1767">
        <v>0</v>
      </c>
      <c r="BM186" s="1767">
        <v>0</v>
      </c>
      <c r="BN186" s="1767">
        <v>0</v>
      </c>
      <c r="BO186" s="1767">
        <v>0</v>
      </c>
      <c r="BP186" s="1767">
        <v>0</v>
      </c>
      <c r="BQ186" s="1767">
        <v>0</v>
      </c>
      <c r="BR186" s="1767">
        <v>0</v>
      </c>
      <c r="BS186" s="1767">
        <v>0</v>
      </c>
      <c r="BT186" s="1767">
        <v>0</v>
      </c>
      <c r="BU186" s="1767">
        <v>0</v>
      </c>
      <c r="BV186" s="1767">
        <v>0</v>
      </c>
      <c r="BW186" s="1767">
        <v>0</v>
      </c>
      <c r="BX186" s="1767">
        <v>0</v>
      </c>
      <c r="BY186" s="1767">
        <v>0</v>
      </c>
      <c r="BZ186" s="1767">
        <v>0</v>
      </c>
      <c r="CA186" s="1767">
        <v>0</v>
      </c>
      <c r="CB186" s="1767">
        <v>0</v>
      </c>
      <c r="CC186" s="1767">
        <v>0</v>
      </c>
      <c r="CD186" s="1767">
        <v>0</v>
      </c>
      <c r="CE186" s="1767">
        <v>0</v>
      </c>
      <c r="CF186" s="1767">
        <v>0</v>
      </c>
      <c r="CG186" s="1767">
        <v>0</v>
      </c>
      <c r="CH186" s="1767">
        <v>0</v>
      </c>
      <c r="CI186" s="1767">
        <v>0</v>
      </c>
      <c r="CJ186" s="1767">
        <v>0</v>
      </c>
      <c r="CK186" s="1767">
        <v>0</v>
      </c>
      <c r="CL186" s="1767">
        <v>0</v>
      </c>
      <c r="CM186" s="1767">
        <v>0</v>
      </c>
      <c r="CN186" s="1767">
        <v>0</v>
      </c>
      <c r="CO186" s="1767">
        <v>0</v>
      </c>
      <c r="CP186" s="1767">
        <v>0</v>
      </c>
    </row>
    <row r="187" spans="1:94" ht="30" customHeight="1" thickBot="1" x14ac:dyDescent="0.25">
      <c r="A187" s="1833" t="s">
        <v>1310</v>
      </c>
      <c r="B187" s="1833" t="s">
        <v>451</v>
      </c>
      <c r="C187" s="1779" t="s">
        <v>2528</v>
      </c>
      <c r="D187" s="947"/>
      <c r="E187" s="1836" t="s">
        <v>1820</v>
      </c>
      <c r="F187" s="1225"/>
      <c r="G187" s="1742"/>
      <c r="H187" s="1742"/>
      <c r="I187" s="1742"/>
      <c r="J187" s="1742"/>
      <c r="K187" s="1742"/>
      <c r="L187" s="1742"/>
      <c r="M187" s="1742"/>
      <c r="N187" s="1742"/>
      <c r="O187" s="1742"/>
      <c r="P187" s="1742"/>
      <c r="Q187" s="1742"/>
      <c r="R187" s="1742"/>
      <c r="S187" s="1742"/>
      <c r="T187" s="1742"/>
      <c r="U187" s="1742"/>
      <c r="V187" s="1742"/>
      <c r="W187" s="1742"/>
      <c r="X187" s="1742"/>
      <c r="Y187" s="1742"/>
      <c r="Z187" s="1742"/>
      <c r="AA187" s="1742"/>
      <c r="AB187" s="1742"/>
      <c r="AC187" s="1742"/>
      <c r="AD187" s="1742"/>
      <c r="AE187" s="1742"/>
      <c r="AF187" s="1742"/>
      <c r="AG187" s="1742"/>
      <c r="AH187" s="1742"/>
      <c r="AI187" s="1742"/>
      <c r="AJ187" s="1742"/>
      <c r="AK187" s="1742"/>
      <c r="AL187" s="1742"/>
      <c r="AM187" s="1742"/>
      <c r="AN187" s="1742"/>
      <c r="AO187" s="1742"/>
      <c r="AP187" s="1742"/>
      <c r="AQ187" s="1742"/>
      <c r="AR187" s="1742"/>
      <c r="AS187" s="1742"/>
      <c r="AT187" s="1742"/>
      <c r="AU187" s="1742"/>
      <c r="AV187" s="1742"/>
      <c r="AW187" s="1742"/>
      <c r="AX187" s="1742"/>
      <c r="AY187" s="1742"/>
      <c r="AZ187" s="1742"/>
      <c r="BA187" s="1742"/>
      <c r="BB187" s="1742"/>
      <c r="BC187" s="1742"/>
      <c r="BD187" s="1742"/>
      <c r="BE187" s="1742"/>
      <c r="BF187" s="1742"/>
      <c r="BG187" s="1742"/>
      <c r="BH187" s="1742"/>
      <c r="BI187" s="1742"/>
      <c r="BJ187" s="1742"/>
      <c r="BK187" s="1742"/>
      <c r="BL187" s="1742"/>
      <c r="BM187" s="1742"/>
      <c r="BN187" s="1742"/>
      <c r="BO187" s="1742"/>
      <c r="BP187" s="1742"/>
      <c r="BQ187" s="1742"/>
      <c r="BR187" s="1742"/>
      <c r="BS187" s="1742"/>
      <c r="BT187" s="1742"/>
      <c r="BU187" s="1742"/>
      <c r="BV187" s="1742"/>
      <c r="BW187" s="1742"/>
      <c r="BX187" s="1742"/>
      <c r="BY187" s="1742"/>
      <c r="BZ187" s="1742"/>
      <c r="CA187" s="1742"/>
      <c r="CB187" s="1742"/>
      <c r="CC187" s="1742"/>
      <c r="CD187" s="1742"/>
      <c r="CE187" s="1742"/>
      <c r="CF187" s="1742"/>
      <c r="CG187" s="1742"/>
      <c r="CH187" s="1742"/>
      <c r="CI187" s="1742"/>
      <c r="CJ187" s="1742"/>
      <c r="CK187" s="1742"/>
      <c r="CL187" s="1742"/>
      <c r="CM187" s="1742"/>
      <c r="CN187" s="1742"/>
      <c r="CO187" s="1742"/>
      <c r="CP187" s="1742"/>
    </row>
    <row r="188" spans="1:94" ht="15" customHeight="1" x14ac:dyDescent="0.2">
      <c r="A188" s="1847"/>
      <c r="B188" s="1834"/>
      <c r="C188" s="649" t="s">
        <v>236</v>
      </c>
      <c r="D188" s="936"/>
      <c r="E188" s="1837"/>
      <c r="F188" s="1225"/>
      <c r="G188" s="1765">
        <v>0</v>
      </c>
      <c r="H188" s="1765">
        <v>0</v>
      </c>
      <c r="I188" s="1765">
        <v>0</v>
      </c>
      <c r="J188" s="1765">
        <v>0</v>
      </c>
      <c r="K188" s="1765">
        <v>0</v>
      </c>
      <c r="L188" s="1765">
        <v>0</v>
      </c>
      <c r="M188" s="1765">
        <v>0</v>
      </c>
      <c r="N188" s="1765">
        <v>0</v>
      </c>
      <c r="O188" s="1765">
        <v>0</v>
      </c>
      <c r="P188" s="1765">
        <v>0</v>
      </c>
      <c r="Q188" s="1765">
        <v>0</v>
      </c>
      <c r="R188" s="1765">
        <v>0</v>
      </c>
      <c r="S188" s="1765">
        <v>0</v>
      </c>
      <c r="T188" s="1765">
        <v>0</v>
      </c>
      <c r="U188" s="1765">
        <v>0</v>
      </c>
      <c r="V188" s="1765">
        <v>0</v>
      </c>
      <c r="W188" s="1765">
        <v>0</v>
      </c>
      <c r="X188" s="1765">
        <v>0</v>
      </c>
      <c r="Y188" s="1765">
        <v>0</v>
      </c>
      <c r="Z188" s="1765">
        <v>0</v>
      </c>
      <c r="AA188" s="1765">
        <v>0</v>
      </c>
      <c r="AB188" s="1765">
        <v>0</v>
      </c>
      <c r="AC188" s="1765">
        <v>0</v>
      </c>
      <c r="AD188" s="1765">
        <v>0</v>
      </c>
      <c r="AE188" s="1765">
        <v>0</v>
      </c>
      <c r="AF188" s="1765">
        <v>0</v>
      </c>
      <c r="AG188" s="1765">
        <v>0</v>
      </c>
      <c r="AH188" s="1765">
        <v>0</v>
      </c>
      <c r="AI188" s="1765">
        <v>0</v>
      </c>
      <c r="AJ188" s="1765">
        <v>0</v>
      </c>
      <c r="AK188" s="1765">
        <v>0</v>
      </c>
      <c r="AL188" s="1765">
        <v>0</v>
      </c>
      <c r="AM188" s="1765">
        <v>0</v>
      </c>
      <c r="AN188" s="1765">
        <v>0</v>
      </c>
      <c r="AO188" s="1765">
        <v>0</v>
      </c>
      <c r="AP188" s="1765">
        <v>0</v>
      </c>
      <c r="AQ188" s="1765">
        <v>0</v>
      </c>
      <c r="AR188" s="1765">
        <v>0</v>
      </c>
      <c r="AS188" s="1765">
        <v>0</v>
      </c>
      <c r="AT188" s="1765">
        <v>0</v>
      </c>
      <c r="AU188" s="1765">
        <v>0</v>
      </c>
      <c r="AV188" s="1765">
        <v>0</v>
      </c>
      <c r="AW188" s="1765">
        <v>0</v>
      </c>
      <c r="AX188" s="1765">
        <v>0</v>
      </c>
      <c r="AY188" s="1765">
        <v>0</v>
      </c>
      <c r="AZ188" s="1765">
        <v>0</v>
      </c>
      <c r="BA188" s="1765">
        <v>0</v>
      </c>
      <c r="BB188" s="1765">
        <v>0</v>
      </c>
      <c r="BC188" s="1765">
        <v>0</v>
      </c>
      <c r="BD188" s="1765">
        <v>0</v>
      </c>
      <c r="BE188" s="1765">
        <v>0</v>
      </c>
      <c r="BF188" s="1765">
        <v>0</v>
      </c>
      <c r="BG188" s="1765">
        <v>0</v>
      </c>
      <c r="BH188" s="1765">
        <v>0</v>
      </c>
      <c r="BI188" s="1765">
        <v>0</v>
      </c>
      <c r="BJ188" s="1765">
        <v>0</v>
      </c>
      <c r="BK188" s="1765">
        <v>0</v>
      </c>
      <c r="BL188" s="1765">
        <v>0</v>
      </c>
      <c r="BM188" s="1765">
        <v>0</v>
      </c>
      <c r="BN188" s="1765">
        <v>0</v>
      </c>
      <c r="BO188" s="1765">
        <v>0</v>
      </c>
      <c r="BP188" s="1765">
        <v>0</v>
      </c>
      <c r="BQ188" s="1765">
        <v>0</v>
      </c>
      <c r="BR188" s="1765">
        <v>0</v>
      </c>
      <c r="BS188" s="1765">
        <v>0</v>
      </c>
      <c r="BT188" s="1765">
        <v>0</v>
      </c>
      <c r="BU188" s="1765">
        <v>0</v>
      </c>
      <c r="BV188" s="1765">
        <v>0</v>
      </c>
      <c r="BW188" s="1765">
        <v>0</v>
      </c>
      <c r="BX188" s="1765">
        <v>0</v>
      </c>
      <c r="BY188" s="1765">
        <v>0</v>
      </c>
      <c r="BZ188" s="1765">
        <v>0</v>
      </c>
      <c r="CA188" s="1765">
        <v>0</v>
      </c>
      <c r="CB188" s="1765">
        <v>0</v>
      </c>
      <c r="CC188" s="1765">
        <v>0</v>
      </c>
      <c r="CD188" s="1765">
        <v>0</v>
      </c>
      <c r="CE188" s="1765">
        <v>0</v>
      </c>
      <c r="CF188" s="1765">
        <v>0</v>
      </c>
      <c r="CG188" s="1765">
        <v>0</v>
      </c>
      <c r="CH188" s="1765">
        <v>0</v>
      </c>
      <c r="CI188" s="1765">
        <v>0</v>
      </c>
      <c r="CJ188" s="1765">
        <v>0</v>
      </c>
      <c r="CK188" s="1765">
        <v>0</v>
      </c>
      <c r="CL188" s="1765">
        <v>0</v>
      </c>
      <c r="CM188" s="1765">
        <v>0</v>
      </c>
      <c r="CN188" s="1765">
        <v>0</v>
      </c>
      <c r="CO188" s="1765">
        <v>0</v>
      </c>
      <c r="CP188" s="1765">
        <v>0</v>
      </c>
    </row>
    <row r="189" spans="1:94" ht="15" customHeight="1" x14ac:dyDescent="0.2">
      <c r="A189" s="1847"/>
      <c r="B189" s="1834"/>
      <c r="C189" s="663" t="s">
        <v>36</v>
      </c>
      <c r="D189" s="936"/>
      <c r="E189" s="1837"/>
      <c r="F189" s="1225"/>
      <c r="G189" s="1765">
        <v>0</v>
      </c>
      <c r="H189" s="1765">
        <v>0</v>
      </c>
      <c r="I189" s="1765">
        <v>0</v>
      </c>
      <c r="J189" s="1765">
        <v>0</v>
      </c>
      <c r="K189" s="1765">
        <v>0</v>
      </c>
      <c r="L189" s="1765">
        <v>0</v>
      </c>
      <c r="M189" s="1765">
        <v>0</v>
      </c>
      <c r="N189" s="1765">
        <v>0</v>
      </c>
      <c r="O189" s="1765">
        <v>0</v>
      </c>
      <c r="P189" s="1765">
        <v>0</v>
      </c>
      <c r="Q189" s="1765">
        <v>0</v>
      </c>
      <c r="R189" s="1765">
        <v>0</v>
      </c>
      <c r="S189" s="1765">
        <v>0</v>
      </c>
      <c r="T189" s="1765">
        <v>0</v>
      </c>
      <c r="U189" s="1765">
        <v>0</v>
      </c>
      <c r="V189" s="1765">
        <v>0</v>
      </c>
      <c r="W189" s="1765">
        <v>0</v>
      </c>
      <c r="X189" s="1765">
        <v>0</v>
      </c>
      <c r="Y189" s="1765">
        <v>0</v>
      </c>
      <c r="Z189" s="1765">
        <v>0</v>
      </c>
      <c r="AA189" s="1765">
        <v>0</v>
      </c>
      <c r="AB189" s="1765">
        <v>0</v>
      </c>
      <c r="AC189" s="1765">
        <v>0</v>
      </c>
      <c r="AD189" s="1765">
        <v>0</v>
      </c>
      <c r="AE189" s="1765">
        <v>0</v>
      </c>
      <c r="AF189" s="1765">
        <v>0</v>
      </c>
      <c r="AG189" s="1765">
        <v>0</v>
      </c>
      <c r="AH189" s="1765">
        <v>0</v>
      </c>
      <c r="AI189" s="1765">
        <v>0</v>
      </c>
      <c r="AJ189" s="1765">
        <v>0</v>
      </c>
      <c r="AK189" s="1765">
        <v>0</v>
      </c>
      <c r="AL189" s="1765">
        <v>0</v>
      </c>
      <c r="AM189" s="1765">
        <v>0</v>
      </c>
      <c r="AN189" s="1765">
        <v>0</v>
      </c>
      <c r="AO189" s="1765">
        <v>0</v>
      </c>
      <c r="AP189" s="1765">
        <v>0</v>
      </c>
      <c r="AQ189" s="1765">
        <v>0</v>
      </c>
      <c r="AR189" s="1765">
        <v>0</v>
      </c>
      <c r="AS189" s="1765">
        <v>0</v>
      </c>
      <c r="AT189" s="1765">
        <v>0</v>
      </c>
      <c r="AU189" s="1765">
        <v>0</v>
      </c>
      <c r="AV189" s="1765">
        <v>0</v>
      </c>
      <c r="AW189" s="1765">
        <v>0</v>
      </c>
      <c r="AX189" s="1765">
        <v>0</v>
      </c>
      <c r="AY189" s="1765">
        <v>0</v>
      </c>
      <c r="AZ189" s="1765">
        <v>0</v>
      </c>
      <c r="BA189" s="1765">
        <v>0</v>
      </c>
      <c r="BB189" s="1765">
        <v>0</v>
      </c>
      <c r="BC189" s="1765">
        <v>0</v>
      </c>
      <c r="BD189" s="1765">
        <v>0</v>
      </c>
      <c r="BE189" s="1765">
        <v>0</v>
      </c>
      <c r="BF189" s="1765">
        <v>0</v>
      </c>
      <c r="BG189" s="1765">
        <v>0</v>
      </c>
      <c r="BH189" s="1765">
        <v>0</v>
      </c>
      <c r="BI189" s="1765">
        <v>0</v>
      </c>
      <c r="BJ189" s="1765">
        <v>0</v>
      </c>
      <c r="BK189" s="1765">
        <v>0</v>
      </c>
      <c r="BL189" s="1765">
        <v>0</v>
      </c>
      <c r="BM189" s="1765">
        <v>0</v>
      </c>
      <c r="BN189" s="1765">
        <v>0</v>
      </c>
      <c r="BO189" s="1765">
        <v>0</v>
      </c>
      <c r="BP189" s="1765">
        <v>0</v>
      </c>
      <c r="BQ189" s="1765">
        <v>0</v>
      </c>
      <c r="BR189" s="1765">
        <v>0</v>
      </c>
      <c r="BS189" s="1765">
        <v>0</v>
      </c>
      <c r="BT189" s="1765">
        <v>0</v>
      </c>
      <c r="BU189" s="1765">
        <v>0</v>
      </c>
      <c r="BV189" s="1765">
        <v>0</v>
      </c>
      <c r="BW189" s="1765">
        <v>0</v>
      </c>
      <c r="BX189" s="1765">
        <v>0</v>
      </c>
      <c r="BY189" s="1765">
        <v>0</v>
      </c>
      <c r="BZ189" s="1765">
        <v>0</v>
      </c>
      <c r="CA189" s="1765">
        <v>0</v>
      </c>
      <c r="CB189" s="1765">
        <v>0</v>
      </c>
      <c r="CC189" s="1765">
        <v>0</v>
      </c>
      <c r="CD189" s="1765">
        <v>0</v>
      </c>
      <c r="CE189" s="1765">
        <v>0</v>
      </c>
      <c r="CF189" s="1765">
        <v>0</v>
      </c>
      <c r="CG189" s="1765">
        <v>0</v>
      </c>
      <c r="CH189" s="1765">
        <v>0</v>
      </c>
      <c r="CI189" s="1765">
        <v>0</v>
      </c>
      <c r="CJ189" s="1765">
        <v>0</v>
      </c>
      <c r="CK189" s="1765">
        <v>0</v>
      </c>
      <c r="CL189" s="1765">
        <v>0</v>
      </c>
      <c r="CM189" s="1765">
        <v>0</v>
      </c>
      <c r="CN189" s="1765">
        <v>0</v>
      </c>
      <c r="CO189" s="1765">
        <v>0</v>
      </c>
      <c r="CP189" s="1765">
        <v>0</v>
      </c>
    </row>
    <row r="190" spans="1:94" ht="15" customHeight="1" x14ac:dyDescent="0.2">
      <c r="A190" s="1847"/>
      <c r="B190" s="1834"/>
      <c r="C190" s="663" t="s">
        <v>2</v>
      </c>
      <c r="D190" s="936"/>
      <c r="E190" s="1837"/>
      <c r="F190" s="1225"/>
      <c r="G190" s="1765">
        <v>0</v>
      </c>
      <c r="H190" s="1765">
        <v>0</v>
      </c>
      <c r="I190" s="1765">
        <v>0</v>
      </c>
      <c r="J190" s="1765">
        <v>0</v>
      </c>
      <c r="K190" s="1765">
        <v>0</v>
      </c>
      <c r="L190" s="1765">
        <v>0</v>
      </c>
      <c r="M190" s="1765">
        <v>0</v>
      </c>
      <c r="N190" s="1765">
        <v>0</v>
      </c>
      <c r="O190" s="1765">
        <v>0</v>
      </c>
      <c r="P190" s="1765">
        <v>0</v>
      </c>
      <c r="Q190" s="1765">
        <v>0</v>
      </c>
      <c r="R190" s="1765">
        <v>0</v>
      </c>
      <c r="S190" s="1765">
        <v>0</v>
      </c>
      <c r="T190" s="1765">
        <v>0</v>
      </c>
      <c r="U190" s="1765">
        <v>0</v>
      </c>
      <c r="V190" s="1765">
        <v>0</v>
      </c>
      <c r="W190" s="1765">
        <v>0</v>
      </c>
      <c r="X190" s="1765">
        <v>0</v>
      </c>
      <c r="Y190" s="1765">
        <v>0</v>
      </c>
      <c r="Z190" s="1765">
        <v>0</v>
      </c>
      <c r="AA190" s="1765">
        <v>0</v>
      </c>
      <c r="AB190" s="1765">
        <v>0</v>
      </c>
      <c r="AC190" s="1765">
        <v>0</v>
      </c>
      <c r="AD190" s="1765">
        <v>0</v>
      </c>
      <c r="AE190" s="1765">
        <v>0</v>
      </c>
      <c r="AF190" s="1765">
        <v>0</v>
      </c>
      <c r="AG190" s="1765">
        <v>0</v>
      </c>
      <c r="AH190" s="1765">
        <v>0</v>
      </c>
      <c r="AI190" s="1765">
        <v>0</v>
      </c>
      <c r="AJ190" s="1765">
        <v>0</v>
      </c>
      <c r="AK190" s="1765">
        <v>0</v>
      </c>
      <c r="AL190" s="1765">
        <v>0</v>
      </c>
      <c r="AM190" s="1765">
        <v>0</v>
      </c>
      <c r="AN190" s="1765">
        <v>0</v>
      </c>
      <c r="AO190" s="1765">
        <v>0</v>
      </c>
      <c r="AP190" s="1765">
        <v>0</v>
      </c>
      <c r="AQ190" s="1765">
        <v>0</v>
      </c>
      <c r="AR190" s="1765">
        <v>0</v>
      </c>
      <c r="AS190" s="1765">
        <v>0</v>
      </c>
      <c r="AT190" s="1765">
        <v>0</v>
      </c>
      <c r="AU190" s="1765">
        <v>0</v>
      </c>
      <c r="AV190" s="1765">
        <v>0</v>
      </c>
      <c r="AW190" s="1765">
        <v>0</v>
      </c>
      <c r="AX190" s="1765">
        <v>0</v>
      </c>
      <c r="AY190" s="1765">
        <v>0</v>
      </c>
      <c r="AZ190" s="1765">
        <v>0</v>
      </c>
      <c r="BA190" s="1765">
        <v>0</v>
      </c>
      <c r="BB190" s="1765">
        <v>0</v>
      </c>
      <c r="BC190" s="1765">
        <v>0</v>
      </c>
      <c r="BD190" s="1765">
        <v>0</v>
      </c>
      <c r="BE190" s="1765">
        <v>0</v>
      </c>
      <c r="BF190" s="1765">
        <v>0</v>
      </c>
      <c r="BG190" s="1765">
        <v>0</v>
      </c>
      <c r="BH190" s="1765">
        <v>0</v>
      </c>
      <c r="BI190" s="1765">
        <v>0</v>
      </c>
      <c r="BJ190" s="1765">
        <v>0</v>
      </c>
      <c r="BK190" s="1765">
        <v>0</v>
      </c>
      <c r="BL190" s="1765">
        <v>0</v>
      </c>
      <c r="BM190" s="1765">
        <v>0</v>
      </c>
      <c r="BN190" s="1765">
        <v>0</v>
      </c>
      <c r="BO190" s="1765">
        <v>0</v>
      </c>
      <c r="BP190" s="1765">
        <v>0</v>
      </c>
      <c r="BQ190" s="1765">
        <v>0</v>
      </c>
      <c r="BR190" s="1765">
        <v>0</v>
      </c>
      <c r="BS190" s="1765">
        <v>0</v>
      </c>
      <c r="BT190" s="1765">
        <v>0</v>
      </c>
      <c r="BU190" s="1765">
        <v>0</v>
      </c>
      <c r="BV190" s="1765">
        <v>0</v>
      </c>
      <c r="BW190" s="1765">
        <v>0</v>
      </c>
      <c r="BX190" s="1765">
        <v>0</v>
      </c>
      <c r="BY190" s="1765">
        <v>0</v>
      </c>
      <c r="BZ190" s="1765">
        <v>0</v>
      </c>
      <c r="CA190" s="1765">
        <v>0</v>
      </c>
      <c r="CB190" s="1765">
        <v>0</v>
      </c>
      <c r="CC190" s="1765">
        <v>0</v>
      </c>
      <c r="CD190" s="1765">
        <v>0</v>
      </c>
      <c r="CE190" s="1765">
        <v>0</v>
      </c>
      <c r="CF190" s="1765">
        <v>0</v>
      </c>
      <c r="CG190" s="1765">
        <v>0</v>
      </c>
      <c r="CH190" s="1765">
        <v>0</v>
      </c>
      <c r="CI190" s="1765">
        <v>0</v>
      </c>
      <c r="CJ190" s="1765">
        <v>0</v>
      </c>
      <c r="CK190" s="1765">
        <v>0</v>
      </c>
      <c r="CL190" s="1765">
        <v>0</v>
      </c>
      <c r="CM190" s="1765">
        <v>0</v>
      </c>
      <c r="CN190" s="1765">
        <v>0</v>
      </c>
      <c r="CO190" s="1765">
        <v>0</v>
      </c>
      <c r="CP190" s="1765">
        <v>0</v>
      </c>
    </row>
    <row r="191" spans="1:94" ht="15" customHeight="1" x14ac:dyDescent="0.2">
      <c r="A191" s="1847"/>
      <c r="B191" s="1834"/>
      <c r="C191" s="663" t="s">
        <v>3</v>
      </c>
      <c r="D191" s="936"/>
      <c r="E191" s="1837"/>
      <c r="F191" s="1225"/>
      <c r="G191" s="1765">
        <v>0</v>
      </c>
      <c r="H191" s="1765">
        <v>0</v>
      </c>
      <c r="I191" s="1765">
        <v>0</v>
      </c>
      <c r="J191" s="1765">
        <v>0</v>
      </c>
      <c r="K191" s="1765">
        <v>0</v>
      </c>
      <c r="L191" s="1765">
        <v>0</v>
      </c>
      <c r="M191" s="1765">
        <v>0</v>
      </c>
      <c r="N191" s="1765">
        <v>0</v>
      </c>
      <c r="O191" s="1765">
        <v>0</v>
      </c>
      <c r="P191" s="1765">
        <v>0</v>
      </c>
      <c r="Q191" s="1765">
        <v>0</v>
      </c>
      <c r="R191" s="1765">
        <v>0</v>
      </c>
      <c r="S191" s="1765">
        <v>0</v>
      </c>
      <c r="T191" s="1765">
        <v>0</v>
      </c>
      <c r="U191" s="1765">
        <v>0</v>
      </c>
      <c r="V191" s="1765">
        <v>0</v>
      </c>
      <c r="W191" s="1765">
        <v>0</v>
      </c>
      <c r="X191" s="1765">
        <v>0</v>
      </c>
      <c r="Y191" s="1765">
        <v>0</v>
      </c>
      <c r="Z191" s="1765">
        <v>0</v>
      </c>
      <c r="AA191" s="1765">
        <v>0</v>
      </c>
      <c r="AB191" s="1765">
        <v>0</v>
      </c>
      <c r="AC191" s="1765">
        <v>0</v>
      </c>
      <c r="AD191" s="1765">
        <v>0</v>
      </c>
      <c r="AE191" s="1765">
        <v>0</v>
      </c>
      <c r="AF191" s="1765">
        <v>0</v>
      </c>
      <c r="AG191" s="1765">
        <v>0</v>
      </c>
      <c r="AH191" s="1765">
        <v>0</v>
      </c>
      <c r="AI191" s="1765">
        <v>0</v>
      </c>
      <c r="AJ191" s="1765">
        <v>0</v>
      </c>
      <c r="AK191" s="1765">
        <v>0</v>
      </c>
      <c r="AL191" s="1765">
        <v>0</v>
      </c>
      <c r="AM191" s="1765">
        <v>0</v>
      </c>
      <c r="AN191" s="1765">
        <v>0</v>
      </c>
      <c r="AO191" s="1765">
        <v>0</v>
      </c>
      <c r="AP191" s="1765">
        <v>0</v>
      </c>
      <c r="AQ191" s="1765">
        <v>0</v>
      </c>
      <c r="AR191" s="1765">
        <v>0</v>
      </c>
      <c r="AS191" s="1765">
        <v>0</v>
      </c>
      <c r="AT191" s="1765">
        <v>0</v>
      </c>
      <c r="AU191" s="1765">
        <v>0</v>
      </c>
      <c r="AV191" s="1765">
        <v>0</v>
      </c>
      <c r="AW191" s="1765">
        <v>0</v>
      </c>
      <c r="AX191" s="1765">
        <v>0</v>
      </c>
      <c r="AY191" s="1765">
        <v>0</v>
      </c>
      <c r="AZ191" s="1765">
        <v>0</v>
      </c>
      <c r="BA191" s="1765">
        <v>0</v>
      </c>
      <c r="BB191" s="1765">
        <v>0</v>
      </c>
      <c r="BC191" s="1765">
        <v>0</v>
      </c>
      <c r="BD191" s="1765">
        <v>0</v>
      </c>
      <c r="BE191" s="1765">
        <v>0</v>
      </c>
      <c r="BF191" s="1765">
        <v>0</v>
      </c>
      <c r="BG191" s="1765">
        <v>0</v>
      </c>
      <c r="BH191" s="1765">
        <v>0</v>
      </c>
      <c r="BI191" s="1765">
        <v>0</v>
      </c>
      <c r="BJ191" s="1765">
        <v>0</v>
      </c>
      <c r="BK191" s="1765">
        <v>0</v>
      </c>
      <c r="BL191" s="1765">
        <v>0</v>
      </c>
      <c r="BM191" s="1765">
        <v>0</v>
      </c>
      <c r="BN191" s="1765">
        <v>0</v>
      </c>
      <c r="BO191" s="1765">
        <v>0</v>
      </c>
      <c r="BP191" s="1765">
        <v>0</v>
      </c>
      <c r="BQ191" s="1765">
        <v>0</v>
      </c>
      <c r="BR191" s="1765">
        <v>0</v>
      </c>
      <c r="BS191" s="1765">
        <v>0</v>
      </c>
      <c r="BT191" s="1765">
        <v>0</v>
      </c>
      <c r="BU191" s="1765">
        <v>0</v>
      </c>
      <c r="BV191" s="1765">
        <v>0</v>
      </c>
      <c r="BW191" s="1765">
        <v>0</v>
      </c>
      <c r="BX191" s="1765">
        <v>0</v>
      </c>
      <c r="BY191" s="1765">
        <v>0</v>
      </c>
      <c r="BZ191" s="1765">
        <v>0</v>
      </c>
      <c r="CA191" s="1765">
        <v>0</v>
      </c>
      <c r="CB191" s="1765">
        <v>0</v>
      </c>
      <c r="CC191" s="1765">
        <v>0</v>
      </c>
      <c r="CD191" s="1765">
        <v>0</v>
      </c>
      <c r="CE191" s="1765">
        <v>0</v>
      </c>
      <c r="CF191" s="1765">
        <v>0</v>
      </c>
      <c r="CG191" s="1765">
        <v>0</v>
      </c>
      <c r="CH191" s="1765">
        <v>0</v>
      </c>
      <c r="CI191" s="1765">
        <v>0</v>
      </c>
      <c r="CJ191" s="1765">
        <v>0</v>
      </c>
      <c r="CK191" s="1765">
        <v>0</v>
      </c>
      <c r="CL191" s="1765">
        <v>0</v>
      </c>
      <c r="CM191" s="1765">
        <v>0</v>
      </c>
      <c r="CN191" s="1765">
        <v>0</v>
      </c>
      <c r="CO191" s="1765">
        <v>0</v>
      </c>
      <c r="CP191" s="1765">
        <v>0</v>
      </c>
    </row>
    <row r="192" spans="1:94" ht="15" customHeight="1" thickBot="1" x14ac:dyDescent="0.25">
      <c r="A192" s="1848"/>
      <c r="B192" s="1835"/>
      <c r="C192" s="650" t="s">
        <v>4</v>
      </c>
      <c r="D192" s="950"/>
      <c r="E192" s="1838"/>
      <c r="F192" s="1225"/>
      <c r="G192" s="1765">
        <v>0</v>
      </c>
      <c r="H192" s="1765">
        <v>0</v>
      </c>
      <c r="I192" s="1765">
        <v>0</v>
      </c>
      <c r="J192" s="1765">
        <v>0</v>
      </c>
      <c r="K192" s="1765">
        <v>0</v>
      </c>
      <c r="L192" s="1765">
        <v>0</v>
      </c>
      <c r="M192" s="1765">
        <v>0</v>
      </c>
      <c r="N192" s="1765">
        <v>0</v>
      </c>
      <c r="O192" s="1765">
        <v>0</v>
      </c>
      <c r="P192" s="1765">
        <v>0</v>
      </c>
      <c r="Q192" s="1765">
        <v>0</v>
      </c>
      <c r="R192" s="1765">
        <v>0</v>
      </c>
      <c r="S192" s="1765">
        <v>0</v>
      </c>
      <c r="T192" s="1765">
        <v>0</v>
      </c>
      <c r="U192" s="1765">
        <v>0</v>
      </c>
      <c r="V192" s="1765">
        <v>0</v>
      </c>
      <c r="W192" s="1765">
        <v>0</v>
      </c>
      <c r="X192" s="1765">
        <v>0</v>
      </c>
      <c r="Y192" s="1765">
        <v>0</v>
      </c>
      <c r="Z192" s="1765">
        <v>0</v>
      </c>
      <c r="AA192" s="1765">
        <v>0</v>
      </c>
      <c r="AB192" s="1765">
        <v>0</v>
      </c>
      <c r="AC192" s="1765">
        <v>0</v>
      </c>
      <c r="AD192" s="1765">
        <v>0</v>
      </c>
      <c r="AE192" s="1765">
        <v>0</v>
      </c>
      <c r="AF192" s="1765">
        <v>0</v>
      </c>
      <c r="AG192" s="1765">
        <v>0</v>
      </c>
      <c r="AH192" s="1765">
        <v>0</v>
      </c>
      <c r="AI192" s="1765">
        <v>0</v>
      </c>
      <c r="AJ192" s="1765">
        <v>0</v>
      </c>
      <c r="AK192" s="1765">
        <v>0</v>
      </c>
      <c r="AL192" s="1765">
        <v>0</v>
      </c>
      <c r="AM192" s="1765">
        <v>0</v>
      </c>
      <c r="AN192" s="1765">
        <v>0</v>
      </c>
      <c r="AO192" s="1765">
        <v>0</v>
      </c>
      <c r="AP192" s="1765">
        <v>0</v>
      </c>
      <c r="AQ192" s="1765">
        <v>0</v>
      </c>
      <c r="AR192" s="1765">
        <v>0</v>
      </c>
      <c r="AS192" s="1765">
        <v>0</v>
      </c>
      <c r="AT192" s="1765">
        <v>0</v>
      </c>
      <c r="AU192" s="1765">
        <v>0</v>
      </c>
      <c r="AV192" s="1765">
        <v>0</v>
      </c>
      <c r="AW192" s="1765">
        <v>0</v>
      </c>
      <c r="AX192" s="1765">
        <v>0</v>
      </c>
      <c r="AY192" s="1765">
        <v>0</v>
      </c>
      <c r="AZ192" s="1765">
        <v>0</v>
      </c>
      <c r="BA192" s="1765">
        <v>0</v>
      </c>
      <c r="BB192" s="1765">
        <v>0</v>
      </c>
      <c r="BC192" s="1765">
        <v>0</v>
      </c>
      <c r="BD192" s="1765">
        <v>0</v>
      </c>
      <c r="BE192" s="1765">
        <v>0</v>
      </c>
      <c r="BF192" s="1765">
        <v>0</v>
      </c>
      <c r="BG192" s="1765">
        <v>0</v>
      </c>
      <c r="BH192" s="1765">
        <v>0</v>
      </c>
      <c r="BI192" s="1765">
        <v>0</v>
      </c>
      <c r="BJ192" s="1765">
        <v>0</v>
      </c>
      <c r="BK192" s="1765">
        <v>0</v>
      </c>
      <c r="BL192" s="1765">
        <v>0</v>
      </c>
      <c r="BM192" s="1765">
        <v>0</v>
      </c>
      <c r="BN192" s="1765">
        <v>0</v>
      </c>
      <c r="BO192" s="1765">
        <v>0</v>
      </c>
      <c r="BP192" s="1765">
        <v>0</v>
      </c>
      <c r="BQ192" s="1765">
        <v>0</v>
      </c>
      <c r="BR192" s="1765">
        <v>0</v>
      </c>
      <c r="BS192" s="1765">
        <v>0</v>
      </c>
      <c r="BT192" s="1765">
        <v>0</v>
      </c>
      <c r="BU192" s="1765">
        <v>0</v>
      </c>
      <c r="BV192" s="1765">
        <v>0</v>
      </c>
      <c r="BW192" s="1765">
        <v>0</v>
      </c>
      <c r="BX192" s="1765">
        <v>0</v>
      </c>
      <c r="BY192" s="1765">
        <v>0</v>
      </c>
      <c r="BZ192" s="1765">
        <v>0</v>
      </c>
      <c r="CA192" s="1765">
        <v>0</v>
      </c>
      <c r="CB192" s="1765">
        <v>0</v>
      </c>
      <c r="CC192" s="1765">
        <v>0</v>
      </c>
      <c r="CD192" s="1765">
        <v>0</v>
      </c>
      <c r="CE192" s="1765">
        <v>0</v>
      </c>
      <c r="CF192" s="1765">
        <v>0</v>
      </c>
      <c r="CG192" s="1765">
        <v>0</v>
      </c>
      <c r="CH192" s="1765">
        <v>0</v>
      </c>
      <c r="CI192" s="1765">
        <v>0</v>
      </c>
      <c r="CJ192" s="1765">
        <v>0</v>
      </c>
      <c r="CK192" s="1765">
        <v>0</v>
      </c>
      <c r="CL192" s="1765">
        <v>0</v>
      </c>
      <c r="CM192" s="1765">
        <v>0</v>
      </c>
      <c r="CN192" s="1765">
        <v>0</v>
      </c>
      <c r="CO192" s="1765">
        <v>0</v>
      </c>
      <c r="CP192" s="1765">
        <v>0</v>
      </c>
    </row>
    <row r="193" spans="1:94" ht="30" customHeight="1" thickBot="1" x14ac:dyDescent="0.25">
      <c r="A193" s="1883" t="s">
        <v>1311</v>
      </c>
      <c r="B193" s="1881" t="s">
        <v>1697</v>
      </c>
      <c r="C193" s="1784" t="s">
        <v>1821</v>
      </c>
      <c r="D193" s="946"/>
      <c r="E193" s="1844" t="s">
        <v>1822</v>
      </c>
      <c r="F193" s="1225"/>
      <c r="G193" s="1742"/>
      <c r="H193" s="1742"/>
      <c r="I193" s="1742"/>
      <c r="J193" s="1742"/>
      <c r="K193" s="1742"/>
      <c r="L193" s="1742"/>
      <c r="M193" s="1742"/>
      <c r="N193" s="1742"/>
      <c r="O193" s="1742"/>
      <c r="P193" s="1742"/>
      <c r="Q193" s="1742"/>
      <c r="R193" s="1742"/>
      <c r="S193" s="1742"/>
      <c r="T193" s="1742"/>
      <c r="U193" s="1742"/>
      <c r="V193" s="1742"/>
      <c r="W193" s="1742"/>
      <c r="X193" s="1742"/>
      <c r="Y193" s="1742"/>
      <c r="Z193" s="1742"/>
      <c r="AA193" s="1742"/>
      <c r="AB193" s="1742"/>
      <c r="AC193" s="1742"/>
      <c r="AD193" s="1742"/>
      <c r="AE193" s="1742"/>
      <c r="AF193" s="1742"/>
      <c r="AG193" s="1742"/>
      <c r="AH193" s="1742"/>
      <c r="AI193" s="1742"/>
      <c r="AJ193" s="1742"/>
      <c r="AK193" s="1742"/>
      <c r="AL193" s="1742"/>
      <c r="AM193" s="1742"/>
      <c r="AN193" s="1742"/>
      <c r="AO193" s="1742"/>
      <c r="AP193" s="1742"/>
      <c r="AQ193" s="1742"/>
      <c r="AR193" s="1742"/>
      <c r="AS193" s="1742"/>
      <c r="AT193" s="1742"/>
      <c r="AU193" s="1742"/>
      <c r="AV193" s="1742"/>
      <c r="AW193" s="1742"/>
      <c r="AX193" s="1742"/>
      <c r="AY193" s="1742"/>
      <c r="AZ193" s="1742"/>
      <c r="BA193" s="1742"/>
      <c r="BB193" s="1742"/>
      <c r="BC193" s="1742"/>
      <c r="BD193" s="1742"/>
      <c r="BE193" s="1742"/>
      <c r="BF193" s="1742"/>
      <c r="BG193" s="1742"/>
      <c r="BH193" s="1742"/>
      <c r="BI193" s="1742"/>
      <c r="BJ193" s="1742"/>
      <c r="BK193" s="1742"/>
      <c r="BL193" s="1742"/>
      <c r="BM193" s="1742"/>
      <c r="BN193" s="1742"/>
      <c r="BO193" s="1742"/>
      <c r="BP193" s="1742"/>
      <c r="BQ193" s="1742"/>
      <c r="BR193" s="1742"/>
      <c r="BS193" s="1742"/>
      <c r="BT193" s="1742"/>
      <c r="BU193" s="1742"/>
      <c r="BV193" s="1742"/>
      <c r="BW193" s="1742"/>
      <c r="BX193" s="1742"/>
      <c r="BY193" s="1742"/>
      <c r="BZ193" s="1742"/>
      <c r="CA193" s="1742"/>
      <c r="CB193" s="1742"/>
      <c r="CC193" s="1742"/>
      <c r="CD193" s="1742"/>
      <c r="CE193" s="1742"/>
      <c r="CF193" s="1742"/>
      <c r="CG193" s="1742"/>
      <c r="CH193" s="1742"/>
      <c r="CI193" s="1742"/>
      <c r="CJ193" s="1742"/>
      <c r="CK193" s="1742"/>
      <c r="CL193" s="1742"/>
      <c r="CM193" s="1742"/>
      <c r="CN193" s="1742"/>
      <c r="CO193" s="1742"/>
      <c r="CP193" s="1742"/>
    </row>
    <row r="194" spans="1:94" ht="15" customHeight="1" x14ac:dyDescent="0.2">
      <c r="A194" s="1884"/>
      <c r="B194" s="1881"/>
      <c r="C194" s="649" t="s">
        <v>2364</v>
      </c>
      <c r="D194" s="936"/>
      <c r="E194" s="1844"/>
      <c r="F194" s="1225"/>
      <c r="G194" s="1767">
        <v>0</v>
      </c>
      <c r="H194" s="1767">
        <v>0</v>
      </c>
      <c r="I194" s="1767">
        <v>0</v>
      </c>
      <c r="J194" s="1767">
        <v>0</v>
      </c>
      <c r="K194" s="1767">
        <v>0</v>
      </c>
      <c r="L194" s="1767">
        <v>0</v>
      </c>
      <c r="M194" s="1767">
        <v>0</v>
      </c>
      <c r="N194" s="1767">
        <v>0</v>
      </c>
      <c r="O194" s="1767">
        <v>0</v>
      </c>
      <c r="P194" s="1767">
        <v>0</v>
      </c>
      <c r="Q194" s="1767">
        <v>0</v>
      </c>
      <c r="R194" s="1767">
        <v>0</v>
      </c>
      <c r="S194" s="1767">
        <v>0</v>
      </c>
      <c r="T194" s="1767">
        <v>0</v>
      </c>
      <c r="U194" s="1767">
        <v>0</v>
      </c>
      <c r="V194" s="1767">
        <v>0</v>
      </c>
      <c r="W194" s="1767">
        <v>0</v>
      </c>
      <c r="X194" s="1767">
        <v>0</v>
      </c>
      <c r="Y194" s="1767">
        <v>0</v>
      </c>
      <c r="Z194" s="1767">
        <v>0</v>
      </c>
      <c r="AA194" s="1767">
        <v>0</v>
      </c>
      <c r="AB194" s="1767">
        <v>0</v>
      </c>
      <c r="AC194" s="1767">
        <v>0</v>
      </c>
      <c r="AD194" s="1767">
        <v>0</v>
      </c>
      <c r="AE194" s="1767">
        <v>0</v>
      </c>
      <c r="AF194" s="1767">
        <v>0</v>
      </c>
      <c r="AG194" s="1767">
        <v>0</v>
      </c>
      <c r="AH194" s="1767">
        <v>0</v>
      </c>
      <c r="AI194" s="1767">
        <v>0</v>
      </c>
      <c r="AJ194" s="1767">
        <v>0</v>
      </c>
      <c r="AK194" s="1767">
        <v>0</v>
      </c>
      <c r="AL194" s="1767">
        <v>0</v>
      </c>
      <c r="AM194" s="1767">
        <v>0</v>
      </c>
      <c r="AN194" s="1767">
        <v>0</v>
      </c>
      <c r="AO194" s="1767">
        <v>0</v>
      </c>
      <c r="AP194" s="1767">
        <v>0</v>
      </c>
      <c r="AQ194" s="1767">
        <v>0</v>
      </c>
      <c r="AR194" s="1767">
        <v>0</v>
      </c>
      <c r="AS194" s="1767">
        <v>0</v>
      </c>
      <c r="AT194" s="1767">
        <v>0</v>
      </c>
      <c r="AU194" s="1767">
        <v>0</v>
      </c>
      <c r="AV194" s="1767">
        <v>0</v>
      </c>
      <c r="AW194" s="1767">
        <v>0</v>
      </c>
      <c r="AX194" s="1767">
        <v>0</v>
      </c>
      <c r="AY194" s="1767">
        <v>0</v>
      </c>
      <c r="AZ194" s="1767">
        <v>0</v>
      </c>
      <c r="BA194" s="1767">
        <v>0</v>
      </c>
      <c r="BB194" s="1767">
        <v>0</v>
      </c>
      <c r="BC194" s="1767">
        <v>0</v>
      </c>
      <c r="BD194" s="1767">
        <v>0</v>
      </c>
      <c r="BE194" s="1767">
        <v>0</v>
      </c>
      <c r="BF194" s="1767">
        <v>0</v>
      </c>
      <c r="BG194" s="1767">
        <v>0</v>
      </c>
      <c r="BH194" s="1767">
        <v>0</v>
      </c>
      <c r="BI194" s="1767">
        <v>0</v>
      </c>
      <c r="BJ194" s="1767">
        <v>0</v>
      </c>
      <c r="BK194" s="1767">
        <v>0</v>
      </c>
      <c r="BL194" s="1767">
        <v>0</v>
      </c>
      <c r="BM194" s="1767">
        <v>0</v>
      </c>
      <c r="BN194" s="1767">
        <v>0</v>
      </c>
      <c r="BO194" s="1767">
        <v>0</v>
      </c>
      <c r="BP194" s="1767">
        <v>0</v>
      </c>
      <c r="BQ194" s="1767">
        <v>0</v>
      </c>
      <c r="BR194" s="1767">
        <v>0</v>
      </c>
      <c r="BS194" s="1767">
        <v>0</v>
      </c>
      <c r="BT194" s="1767">
        <v>0</v>
      </c>
      <c r="BU194" s="1767">
        <v>0</v>
      </c>
      <c r="BV194" s="1767">
        <v>0</v>
      </c>
      <c r="BW194" s="1767">
        <v>0</v>
      </c>
      <c r="BX194" s="1767">
        <v>0</v>
      </c>
      <c r="BY194" s="1767">
        <v>0</v>
      </c>
      <c r="BZ194" s="1767">
        <v>0</v>
      </c>
      <c r="CA194" s="1767">
        <v>0</v>
      </c>
      <c r="CB194" s="1767">
        <v>0</v>
      </c>
      <c r="CC194" s="1767">
        <v>0</v>
      </c>
      <c r="CD194" s="1767">
        <v>0</v>
      </c>
      <c r="CE194" s="1767">
        <v>0</v>
      </c>
      <c r="CF194" s="1767">
        <v>0</v>
      </c>
      <c r="CG194" s="1767">
        <v>0</v>
      </c>
      <c r="CH194" s="1767">
        <v>0</v>
      </c>
      <c r="CI194" s="1767">
        <v>0</v>
      </c>
      <c r="CJ194" s="1767">
        <v>0</v>
      </c>
      <c r="CK194" s="1767">
        <v>0</v>
      </c>
      <c r="CL194" s="1767">
        <v>0</v>
      </c>
      <c r="CM194" s="1767">
        <v>0</v>
      </c>
      <c r="CN194" s="1767">
        <v>0</v>
      </c>
      <c r="CO194" s="1767">
        <v>0</v>
      </c>
      <c r="CP194" s="1767">
        <v>0</v>
      </c>
    </row>
    <row r="195" spans="1:94" ht="15" customHeight="1" x14ac:dyDescent="0.2">
      <c r="A195" s="1884"/>
      <c r="B195" s="1881"/>
      <c r="C195" s="663" t="s">
        <v>36</v>
      </c>
      <c r="D195" s="936"/>
      <c r="E195" s="1844"/>
      <c r="F195" s="1225"/>
      <c r="G195" s="1767">
        <v>0</v>
      </c>
      <c r="H195" s="1767">
        <v>0</v>
      </c>
      <c r="I195" s="1767">
        <v>0</v>
      </c>
      <c r="J195" s="1767">
        <v>0</v>
      </c>
      <c r="K195" s="1767">
        <v>0</v>
      </c>
      <c r="L195" s="1767">
        <v>0</v>
      </c>
      <c r="M195" s="1767">
        <v>0</v>
      </c>
      <c r="N195" s="1767">
        <v>0</v>
      </c>
      <c r="O195" s="1767">
        <v>0</v>
      </c>
      <c r="P195" s="1767">
        <v>0</v>
      </c>
      <c r="Q195" s="1767">
        <v>0</v>
      </c>
      <c r="R195" s="1767">
        <v>0</v>
      </c>
      <c r="S195" s="1767">
        <v>0</v>
      </c>
      <c r="T195" s="1767">
        <v>0</v>
      </c>
      <c r="U195" s="1767">
        <v>0</v>
      </c>
      <c r="V195" s="1767">
        <v>0</v>
      </c>
      <c r="W195" s="1767">
        <v>0</v>
      </c>
      <c r="X195" s="1767">
        <v>0</v>
      </c>
      <c r="Y195" s="1767">
        <v>0</v>
      </c>
      <c r="Z195" s="1767">
        <v>0</v>
      </c>
      <c r="AA195" s="1767">
        <v>0</v>
      </c>
      <c r="AB195" s="1767">
        <v>0</v>
      </c>
      <c r="AC195" s="1767">
        <v>0</v>
      </c>
      <c r="AD195" s="1767">
        <v>0</v>
      </c>
      <c r="AE195" s="1767">
        <v>0</v>
      </c>
      <c r="AF195" s="1767">
        <v>0</v>
      </c>
      <c r="AG195" s="1767">
        <v>0</v>
      </c>
      <c r="AH195" s="1767">
        <v>0</v>
      </c>
      <c r="AI195" s="1767">
        <v>0</v>
      </c>
      <c r="AJ195" s="1767">
        <v>0</v>
      </c>
      <c r="AK195" s="1767">
        <v>0</v>
      </c>
      <c r="AL195" s="1767">
        <v>0</v>
      </c>
      <c r="AM195" s="1767">
        <v>0</v>
      </c>
      <c r="AN195" s="1767">
        <v>0</v>
      </c>
      <c r="AO195" s="1767">
        <v>0</v>
      </c>
      <c r="AP195" s="1767">
        <v>0</v>
      </c>
      <c r="AQ195" s="1767">
        <v>0</v>
      </c>
      <c r="AR195" s="1767">
        <v>0</v>
      </c>
      <c r="AS195" s="1767">
        <v>0</v>
      </c>
      <c r="AT195" s="1767">
        <v>0</v>
      </c>
      <c r="AU195" s="1767">
        <v>0</v>
      </c>
      <c r="AV195" s="1767">
        <v>0</v>
      </c>
      <c r="AW195" s="1767">
        <v>0</v>
      </c>
      <c r="AX195" s="1767">
        <v>0</v>
      </c>
      <c r="AY195" s="1767">
        <v>0</v>
      </c>
      <c r="AZ195" s="1767">
        <v>0</v>
      </c>
      <c r="BA195" s="1767">
        <v>0</v>
      </c>
      <c r="BB195" s="1767">
        <v>0</v>
      </c>
      <c r="BC195" s="1767">
        <v>0</v>
      </c>
      <c r="BD195" s="1767">
        <v>0</v>
      </c>
      <c r="BE195" s="1767">
        <v>0</v>
      </c>
      <c r="BF195" s="1767">
        <v>0</v>
      </c>
      <c r="BG195" s="1767">
        <v>0</v>
      </c>
      <c r="BH195" s="1767">
        <v>0</v>
      </c>
      <c r="BI195" s="1767">
        <v>0</v>
      </c>
      <c r="BJ195" s="1767">
        <v>0</v>
      </c>
      <c r="BK195" s="1767">
        <v>0</v>
      </c>
      <c r="BL195" s="1767">
        <v>0</v>
      </c>
      <c r="BM195" s="1767">
        <v>0</v>
      </c>
      <c r="BN195" s="1767">
        <v>0</v>
      </c>
      <c r="BO195" s="1767">
        <v>0</v>
      </c>
      <c r="BP195" s="1767">
        <v>0</v>
      </c>
      <c r="BQ195" s="1767">
        <v>0</v>
      </c>
      <c r="BR195" s="1767">
        <v>0</v>
      </c>
      <c r="BS195" s="1767">
        <v>0</v>
      </c>
      <c r="BT195" s="1767">
        <v>0</v>
      </c>
      <c r="BU195" s="1767">
        <v>0</v>
      </c>
      <c r="BV195" s="1767">
        <v>0</v>
      </c>
      <c r="BW195" s="1767">
        <v>0</v>
      </c>
      <c r="BX195" s="1767">
        <v>0</v>
      </c>
      <c r="BY195" s="1767">
        <v>0</v>
      </c>
      <c r="BZ195" s="1767">
        <v>0</v>
      </c>
      <c r="CA195" s="1767">
        <v>0</v>
      </c>
      <c r="CB195" s="1767">
        <v>0</v>
      </c>
      <c r="CC195" s="1767">
        <v>0</v>
      </c>
      <c r="CD195" s="1767">
        <v>0</v>
      </c>
      <c r="CE195" s="1767">
        <v>0</v>
      </c>
      <c r="CF195" s="1767">
        <v>0</v>
      </c>
      <c r="CG195" s="1767">
        <v>0</v>
      </c>
      <c r="CH195" s="1767">
        <v>0</v>
      </c>
      <c r="CI195" s="1767">
        <v>0</v>
      </c>
      <c r="CJ195" s="1767">
        <v>0</v>
      </c>
      <c r="CK195" s="1767">
        <v>0</v>
      </c>
      <c r="CL195" s="1767">
        <v>0</v>
      </c>
      <c r="CM195" s="1767">
        <v>0</v>
      </c>
      <c r="CN195" s="1767">
        <v>0</v>
      </c>
      <c r="CO195" s="1767">
        <v>0</v>
      </c>
      <c r="CP195" s="1767">
        <v>0</v>
      </c>
    </row>
    <row r="196" spans="1:94" ht="15" customHeight="1" x14ac:dyDescent="0.2">
      <c r="A196" s="1884"/>
      <c r="B196" s="1881"/>
      <c r="C196" s="663" t="s">
        <v>2</v>
      </c>
      <c r="D196" s="936"/>
      <c r="E196" s="1844"/>
      <c r="F196" s="1225"/>
      <c r="G196" s="1767">
        <v>0</v>
      </c>
      <c r="H196" s="1767">
        <v>0</v>
      </c>
      <c r="I196" s="1767">
        <v>0</v>
      </c>
      <c r="J196" s="1767">
        <v>0</v>
      </c>
      <c r="K196" s="1767">
        <v>0</v>
      </c>
      <c r="L196" s="1767">
        <v>0</v>
      </c>
      <c r="M196" s="1767">
        <v>0</v>
      </c>
      <c r="N196" s="1767">
        <v>0</v>
      </c>
      <c r="O196" s="1767">
        <v>0</v>
      </c>
      <c r="P196" s="1767">
        <v>0</v>
      </c>
      <c r="Q196" s="1767">
        <v>0</v>
      </c>
      <c r="R196" s="1767">
        <v>0</v>
      </c>
      <c r="S196" s="1767">
        <v>0</v>
      </c>
      <c r="T196" s="1767">
        <v>0</v>
      </c>
      <c r="U196" s="1767">
        <v>0</v>
      </c>
      <c r="V196" s="1767">
        <v>0</v>
      </c>
      <c r="W196" s="1767">
        <v>0</v>
      </c>
      <c r="X196" s="1767">
        <v>0</v>
      </c>
      <c r="Y196" s="1767">
        <v>0</v>
      </c>
      <c r="Z196" s="1767">
        <v>0</v>
      </c>
      <c r="AA196" s="1767">
        <v>0</v>
      </c>
      <c r="AB196" s="1767">
        <v>0</v>
      </c>
      <c r="AC196" s="1767">
        <v>0</v>
      </c>
      <c r="AD196" s="1767">
        <v>0</v>
      </c>
      <c r="AE196" s="1767">
        <v>0</v>
      </c>
      <c r="AF196" s="1767">
        <v>0</v>
      </c>
      <c r="AG196" s="1767">
        <v>0</v>
      </c>
      <c r="AH196" s="1767">
        <v>0</v>
      </c>
      <c r="AI196" s="1767">
        <v>0</v>
      </c>
      <c r="AJ196" s="1767">
        <v>0</v>
      </c>
      <c r="AK196" s="1767">
        <v>0</v>
      </c>
      <c r="AL196" s="1767">
        <v>0</v>
      </c>
      <c r="AM196" s="1767">
        <v>0</v>
      </c>
      <c r="AN196" s="1767">
        <v>0</v>
      </c>
      <c r="AO196" s="1767">
        <v>0</v>
      </c>
      <c r="AP196" s="1767">
        <v>0</v>
      </c>
      <c r="AQ196" s="1767">
        <v>0</v>
      </c>
      <c r="AR196" s="1767">
        <v>0</v>
      </c>
      <c r="AS196" s="1767">
        <v>0</v>
      </c>
      <c r="AT196" s="1767">
        <v>0</v>
      </c>
      <c r="AU196" s="1767">
        <v>0</v>
      </c>
      <c r="AV196" s="1767">
        <v>0</v>
      </c>
      <c r="AW196" s="1767">
        <v>0</v>
      </c>
      <c r="AX196" s="1767">
        <v>0</v>
      </c>
      <c r="AY196" s="1767">
        <v>0</v>
      </c>
      <c r="AZ196" s="1767">
        <v>0</v>
      </c>
      <c r="BA196" s="1767">
        <v>0</v>
      </c>
      <c r="BB196" s="1767">
        <v>0</v>
      </c>
      <c r="BC196" s="1767">
        <v>0</v>
      </c>
      <c r="BD196" s="1767">
        <v>0</v>
      </c>
      <c r="BE196" s="1767">
        <v>0</v>
      </c>
      <c r="BF196" s="1767">
        <v>0</v>
      </c>
      <c r="BG196" s="1767">
        <v>0</v>
      </c>
      <c r="BH196" s="1767">
        <v>0</v>
      </c>
      <c r="BI196" s="1767">
        <v>0</v>
      </c>
      <c r="BJ196" s="1767">
        <v>0</v>
      </c>
      <c r="BK196" s="1767">
        <v>0</v>
      </c>
      <c r="BL196" s="1767">
        <v>0</v>
      </c>
      <c r="BM196" s="1767">
        <v>0</v>
      </c>
      <c r="BN196" s="1767">
        <v>0</v>
      </c>
      <c r="BO196" s="1767">
        <v>0</v>
      </c>
      <c r="BP196" s="1767">
        <v>0</v>
      </c>
      <c r="BQ196" s="1767">
        <v>0</v>
      </c>
      <c r="BR196" s="1767">
        <v>0</v>
      </c>
      <c r="BS196" s="1767">
        <v>0</v>
      </c>
      <c r="BT196" s="1767">
        <v>0</v>
      </c>
      <c r="BU196" s="1767">
        <v>0</v>
      </c>
      <c r="BV196" s="1767">
        <v>0</v>
      </c>
      <c r="BW196" s="1767">
        <v>0</v>
      </c>
      <c r="BX196" s="1767">
        <v>0</v>
      </c>
      <c r="BY196" s="1767">
        <v>0</v>
      </c>
      <c r="BZ196" s="1767">
        <v>0</v>
      </c>
      <c r="CA196" s="1767">
        <v>0</v>
      </c>
      <c r="CB196" s="1767">
        <v>0</v>
      </c>
      <c r="CC196" s="1767">
        <v>0</v>
      </c>
      <c r="CD196" s="1767">
        <v>0</v>
      </c>
      <c r="CE196" s="1767">
        <v>0</v>
      </c>
      <c r="CF196" s="1767">
        <v>0</v>
      </c>
      <c r="CG196" s="1767">
        <v>0</v>
      </c>
      <c r="CH196" s="1767">
        <v>0</v>
      </c>
      <c r="CI196" s="1767">
        <v>0</v>
      </c>
      <c r="CJ196" s="1767">
        <v>0</v>
      </c>
      <c r="CK196" s="1767">
        <v>0</v>
      </c>
      <c r="CL196" s="1767">
        <v>0</v>
      </c>
      <c r="CM196" s="1767">
        <v>0</v>
      </c>
      <c r="CN196" s="1767">
        <v>0</v>
      </c>
      <c r="CO196" s="1767">
        <v>0</v>
      </c>
      <c r="CP196" s="1767">
        <v>0</v>
      </c>
    </row>
    <row r="197" spans="1:94" ht="15" customHeight="1" x14ac:dyDescent="0.2">
      <c r="A197" s="1884"/>
      <c r="B197" s="1881"/>
      <c r="C197" s="663" t="s">
        <v>3</v>
      </c>
      <c r="D197" s="936"/>
      <c r="E197" s="1844"/>
      <c r="F197" s="1225"/>
      <c r="G197" s="1767">
        <v>0</v>
      </c>
      <c r="H197" s="1767">
        <v>0</v>
      </c>
      <c r="I197" s="1767">
        <v>0</v>
      </c>
      <c r="J197" s="1767">
        <v>0</v>
      </c>
      <c r="K197" s="1767">
        <v>0</v>
      </c>
      <c r="L197" s="1767">
        <v>0</v>
      </c>
      <c r="M197" s="1767">
        <v>0</v>
      </c>
      <c r="N197" s="1767">
        <v>0</v>
      </c>
      <c r="O197" s="1767">
        <v>0</v>
      </c>
      <c r="P197" s="1767">
        <v>0</v>
      </c>
      <c r="Q197" s="1767">
        <v>0</v>
      </c>
      <c r="R197" s="1767">
        <v>0</v>
      </c>
      <c r="S197" s="1767">
        <v>0</v>
      </c>
      <c r="T197" s="1767">
        <v>0</v>
      </c>
      <c r="U197" s="1767">
        <v>0</v>
      </c>
      <c r="V197" s="1767">
        <v>0</v>
      </c>
      <c r="W197" s="1767">
        <v>0</v>
      </c>
      <c r="X197" s="1767">
        <v>0</v>
      </c>
      <c r="Y197" s="1767">
        <v>0</v>
      </c>
      <c r="Z197" s="1767">
        <v>0</v>
      </c>
      <c r="AA197" s="1767">
        <v>0</v>
      </c>
      <c r="AB197" s="1767">
        <v>0</v>
      </c>
      <c r="AC197" s="1767">
        <v>0</v>
      </c>
      <c r="AD197" s="1767">
        <v>0</v>
      </c>
      <c r="AE197" s="1767">
        <v>0</v>
      </c>
      <c r="AF197" s="1767">
        <v>0</v>
      </c>
      <c r="AG197" s="1767">
        <v>0</v>
      </c>
      <c r="AH197" s="1767">
        <v>0</v>
      </c>
      <c r="AI197" s="1767">
        <v>0</v>
      </c>
      <c r="AJ197" s="1767">
        <v>0</v>
      </c>
      <c r="AK197" s="1767">
        <v>0</v>
      </c>
      <c r="AL197" s="1767">
        <v>0</v>
      </c>
      <c r="AM197" s="1767">
        <v>0</v>
      </c>
      <c r="AN197" s="1767">
        <v>0</v>
      </c>
      <c r="AO197" s="1767">
        <v>0</v>
      </c>
      <c r="AP197" s="1767">
        <v>0</v>
      </c>
      <c r="AQ197" s="1767">
        <v>0</v>
      </c>
      <c r="AR197" s="1767">
        <v>0</v>
      </c>
      <c r="AS197" s="1767">
        <v>0</v>
      </c>
      <c r="AT197" s="1767">
        <v>0</v>
      </c>
      <c r="AU197" s="1767">
        <v>0</v>
      </c>
      <c r="AV197" s="1767">
        <v>0</v>
      </c>
      <c r="AW197" s="1767">
        <v>0</v>
      </c>
      <c r="AX197" s="1767">
        <v>0</v>
      </c>
      <c r="AY197" s="1767">
        <v>0</v>
      </c>
      <c r="AZ197" s="1767">
        <v>0</v>
      </c>
      <c r="BA197" s="1767">
        <v>0</v>
      </c>
      <c r="BB197" s="1767">
        <v>0</v>
      </c>
      <c r="BC197" s="1767">
        <v>0</v>
      </c>
      <c r="BD197" s="1767">
        <v>0</v>
      </c>
      <c r="BE197" s="1767">
        <v>0</v>
      </c>
      <c r="BF197" s="1767">
        <v>0</v>
      </c>
      <c r="BG197" s="1767">
        <v>0</v>
      </c>
      <c r="BH197" s="1767">
        <v>0</v>
      </c>
      <c r="BI197" s="1767">
        <v>0</v>
      </c>
      <c r="BJ197" s="1767">
        <v>0</v>
      </c>
      <c r="BK197" s="1767">
        <v>0</v>
      </c>
      <c r="BL197" s="1767">
        <v>0</v>
      </c>
      <c r="BM197" s="1767">
        <v>0</v>
      </c>
      <c r="BN197" s="1767">
        <v>0</v>
      </c>
      <c r="BO197" s="1767">
        <v>0</v>
      </c>
      <c r="BP197" s="1767">
        <v>0</v>
      </c>
      <c r="BQ197" s="1767">
        <v>0</v>
      </c>
      <c r="BR197" s="1767">
        <v>0</v>
      </c>
      <c r="BS197" s="1767">
        <v>0</v>
      </c>
      <c r="BT197" s="1767">
        <v>0</v>
      </c>
      <c r="BU197" s="1767">
        <v>0</v>
      </c>
      <c r="BV197" s="1767">
        <v>0</v>
      </c>
      <c r="BW197" s="1767">
        <v>0</v>
      </c>
      <c r="BX197" s="1767">
        <v>0</v>
      </c>
      <c r="BY197" s="1767">
        <v>0</v>
      </c>
      <c r="BZ197" s="1767">
        <v>0</v>
      </c>
      <c r="CA197" s="1767">
        <v>0</v>
      </c>
      <c r="CB197" s="1767">
        <v>0</v>
      </c>
      <c r="CC197" s="1767">
        <v>0</v>
      </c>
      <c r="CD197" s="1767">
        <v>0</v>
      </c>
      <c r="CE197" s="1767">
        <v>0</v>
      </c>
      <c r="CF197" s="1767">
        <v>0</v>
      </c>
      <c r="CG197" s="1767">
        <v>0</v>
      </c>
      <c r="CH197" s="1767">
        <v>0</v>
      </c>
      <c r="CI197" s="1767">
        <v>0</v>
      </c>
      <c r="CJ197" s="1767">
        <v>0</v>
      </c>
      <c r="CK197" s="1767">
        <v>0</v>
      </c>
      <c r="CL197" s="1767">
        <v>0</v>
      </c>
      <c r="CM197" s="1767">
        <v>0</v>
      </c>
      <c r="CN197" s="1767">
        <v>0</v>
      </c>
      <c r="CO197" s="1767">
        <v>0</v>
      </c>
      <c r="CP197" s="1767">
        <v>0</v>
      </c>
    </row>
    <row r="198" spans="1:94" ht="15" customHeight="1" thickBot="1" x14ac:dyDescent="0.25">
      <c r="A198" s="1885"/>
      <c r="B198" s="1882"/>
      <c r="C198" s="649" t="s">
        <v>4</v>
      </c>
      <c r="D198" s="936"/>
      <c r="E198" s="1845"/>
      <c r="F198" s="1225"/>
      <c r="G198" s="1767">
        <v>0</v>
      </c>
      <c r="H198" s="1767">
        <v>0</v>
      </c>
      <c r="I198" s="1767">
        <v>0</v>
      </c>
      <c r="J198" s="1767">
        <v>0</v>
      </c>
      <c r="K198" s="1767">
        <v>0</v>
      </c>
      <c r="L198" s="1767">
        <v>0</v>
      </c>
      <c r="M198" s="1767">
        <v>0</v>
      </c>
      <c r="N198" s="1767">
        <v>0</v>
      </c>
      <c r="O198" s="1767">
        <v>0</v>
      </c>
      <c r="P198" s="1767">
        <v>0</v>
      </c>
      <c r="Q198" s="1767">
        <v>0</v>
      </c>
      <c r="R198" s="1767">
        <v>0</v>
      </c>
      <c r="S198" s="1767">
        <v>0</v>
      </c>
      <c r="T198" s="1767">
        <v>0</v>
      </c>
      <c r="U198" s="1767">
        <v>0</v>
      </c>
      <c r="V198" s="1767">
        <v>0</v>
      </c>
      <c r="W198" s="1767">
        <v>0</v>
      </c>
      <c r="X198" s="1767">
        <v>0</v>
      </c>
      <c r="Y198" s="1767">
        <v>0</v>
      </c>
      <c r="Z198" s="1767">
        <v>0</v>
      </c>
      <c r="AA198" s="1767">
        <v>0</v>
      </c>
      <c r="AB198" s="1767">
        <v>0</v>
      </c>
      <c r="AC198" s="1767">
        <v>0</v>
      </c>
      <c r="AD198" s="1767">
        <v>0</v>
      </c>
      <c r="AE198" s="1767">
        <v>0</v>
      </c>
      <c r="AF198" s="1767">
        <v>0</v>
      </c>
      <c r="AG198" s="1767">
        <v>0</v>
      </c>
      <c r="AH198" s="1767">
        <v>0</v>
      </c>
      <c r="AI198" s="1767">
        <v>0</v>
      </c>
      <c r="AJ198" s="1767">
        <v>0</v>
      </c>
      <c r="AK198" s="1767">
        <v>0</v>
      </c>
      <c r="AL198" s="1767">
        <v>0</v>
      </c>
      <c r="AM198" s="1767">
        <v>0</v>
      </c>
      <c r="AN198" s="1767">
        <v>0</v>
      </c>
      <c r="AO198" s="1767">
        <v>0</v>
      </c>
      <c r="AP198" s="1767">
        <v>0</v>
      </c>
      <c r="AQ198" s="1767">
        <v>0</v>
      </c>
      <c r="AR198" s="1767">
        <v>0</v>
      </c>
      <c r="AS198" s="1767">
        <v>0</v>
      </c>
      <c r="AT198" s="1767">
        <v>0</v>
      </c>
      <c r="AU198" s="1767">
        <v>0</v>
      </c>
      <c r="AV198" s="1767">
        <v>0</v>
      </c>
      <c r="AW198" s="1767">
        <v>0</v>
      </c>
      <c r="AX198" s="1767">
        <v>0</v>
      </c>
      <c r="AY198" s="1767">
        <v>0</v>
      </c>
      <c r="AZ198" s="1767">
        <v>0</v>
      </c>
      <c r="BA198" s="1767">
        <v>0</v>
      </c>
      <c r="BB198" s="1767">
        <v>0</v>
      </c>
      <c r="BC198" s="1767">
        <v>0</v>
      </c>
      <c r="BD198" s="1767">
        <v>0</v>
      </c>
      <c r="BE198" s="1767">
        <v>0</v>
      </c>
      <c r="BF198" s="1767">
        <v>0</v>
      </c>
      <c r="BG198" s="1767">
        <v>0</v>
      </c>
      <c r="BH198" s="1767">
        <v>0</v>
      </c>
      <c r="BI198" s="1767">
        <v>0</v>
      </c>
      <c r="BJ198" s="1767">
        <v>0</v>
      </c>
      <c r="BK198" s="1767">
        <v>0</v>
      </c>
      <c r="BL198" s="1767">
        <v>0</v>
      </c>
      <c r="BM198" s="1767">
        <v>0</v>
      </c>
      <c r="BN198" s="1767">
        <v>0</v>
      </c>
      <c r="BO198" s="1767">
        <v>0</v>
      </c>
      <c r="BP198" s="1767">
        <v>0</v>
      </c>
      <c r="BQ198" s="1767">
        <v>0</v>
      </c>
      <c r="BR198" s="1767">
        <v>0</v>
      </c>
      <c r="BS198" s="1767">
        <v>0</v>
      </c>
      <c r="BT198" s="1767">
        <v>0</v>
      </c>
      <c r="BU198" s="1767">
        <v>0</v>
      </c>
      <c r="BV198" s="1767">
        <v>0</v>
      </c>
      <c r="BW198" s="1767">
        <v>0</v>
      </c>
      <c r="BX198" s="1767">
        <v>0</v>
      </c>
      <c r="BY198" s="1767">
        <v>0</v>
      </c>
      <c r="BZ198" s="1767">
        <v>0</v>
      </c>
      <c r="CA198" s="1767">
        <v>0</v>
      </c>
      <c r="CB198" s="1767">
        <v>0</v>
      </c>
      <c r="CC198" s="1767">
        <v>0</v>
      </c>
      <c r="CD198" s="1767">
        <v>0</v>
      </c>
      <c r="CE198" s="1767">
        <v>0</v>
      </c>
      <c r="CF198" s="1767">
        <v>0</v>
      </c>
      <c r="CG198" s="1767">
        <v>0</v>
      </c>
      <c r="CH198" s="1767">
        <v>0</v>
      </c>
      <c r="CI198" s="1767">
        <v>0</v>
      </c>
      <c r="CJ198" s="1767">
        <v>0</v>
      </c>
      <c r="CK198" s="1767">
        <v>0</v>
      </c>
      <c r="CL198" s="1767">
        <v>0</v>
      </c>
      <c r="CM198" s="1767">
        <v>0</v>
      </c>
      <c r="CN198" s="1767">
        <v>0</v>
      </c>
      <c r="CO198" s="1767">
        <v>0</v>
      </c>
      <c r="CP198" s="1767">
        <v>0</v>
      </c>
    </row>
    <row r="199" spans="1:94" ht="30" customHeight="1" thickBot="1" x14ac:dyDescent="0.25">
      <c r="A199" s="1849" t="s">
        <v>1312</v>
      </c>
      <c r="B199" s="1846" t="s">
        <v>1124</v>
      </c>
      <c r="C199" s="1777" t="s">
        <v>2529</v>
      </c>
      <c r="D199" s="947"/>
      <c r="E199" s="1830" t="s">
        <v>1823</v>
      </c>
      <c r="F199" s="1225"/>
      <c r="G199" s="1742"/>
      <c r="H199" s="1742"/>
      <c r="I199" s="1742"/>
      <c r="J199" s="1742"/>
      <c r="K199" s="1742"/>
      <c r="L199" s="1742"/>
      <c r="M199" s="1742"/>
      <c r="N199" s="1742"/>
      <c r="O199" s="1742"/>
      <c r="P199" s="1742"/>
      <c r="Q199" s="1742"/>
      <c r="R199" s="1742"/>
      <c r="S199" s="1742"/>
      <c r="T199" s="1742"/>
      <c r="U199" s="1742"/>
      <c r="V199" s="1742"/>
      <c r="W199" s="1742"/>
      <c r="X199" s="1742"/>
      <c r="Y199" s="1742"/>
      <c r="Z199" s="1742"/>
      <c r="AA199" s="1742"/>
      <c r="AB199" s="1742"/>
      <c r="AC199" s="1742"/>
      <c r="AD199" s="1742"/>
      <c r="AE199" s="1742"/>
      <c r="AF199" s="1742"/>
      <c r="AG199" s="1742"/>
      <c r="AH199" s="1742"/>
      <c r="AI199" s="1742"/>
      <c r="AJ199" s="1742"/>
      <c r="AK199" s="1742"/>
      <c r="AL199" s="1742"/>
      <c r="AM199" s="1742"/>
      <c r="AN199" s="1742"/>
      <c r="AO199" s="1742"/>
      <c r="AP199" s="1742"/>
      <c r="AQ199" s="1742"/>
      <c r="AR199" s="1742"/>
      <c r="AS199" s="1742"/>
      <c r="AT199" s="1742"/>
      <c r="AU199" s="1742"/>
      <c r="AV199" s="1742"/>
      <c r="AW199" s="1742"/>
      <c r="AX199" s="1742"/>
      <c r="AY199" s="1742"/>
      <c r="AZ199" s="1742"/>
      <c r="BA199" s="1742"/>
      <c r="BB199" s="1742"/>
      <c r="BC199" s="1742"/>
      <c r="BD199" s="1742"/>
      <c r="BE199" s="1742"/>
      <c r="BF199" s="1742"/>
      <c r="BG199" s="1742"/>
      <c r="BH199" s="1742"/>
      <c r="BI199" s="1742"/>
      <c r="BJ199" s="1742"/>
      <c r="BK199" s="1742"/>
      <c r="BL199" s="1742"/>
      <c r="BM199" s="1742"/>
      <c r="BN199" s="1742"/>
      <c r="BO199" s="1742"/>
      <c r="BP199" s="1742"/>
      <c r="BQ199" s="1742"/>
      <c r="BR199" s="1742"/>
      <c r="BS199" s="1742"/>
      <c r="BT199" s="1742"/>
      <c r="BU199" s="1742"/>
      <c r="BV199" s="1742"/>
      <c r="BW199" s="1742"/>
      <c r="BX199" s="1742"/>
      <c r="BY199" s="1742"/>
      <c r="BZ199" s="1742"/>
      <c r="CA199" s="1742"/>
      <c r="CB199" s="1742"/>
      <c r="CC199" s="1742"/>
      <c r="CD199" s="1742"/>
      <c r="CE199" s="1742"/>
      <c r="CF199" s="1742"/>
      <c r="CG199" s="1742"/>
      <c r="CH199" s="1742"/>
      <c r="CI199" s="1742"/>
      <c r="CJ199" s="1742"/>
      <c r="CK199" s="1742"/>
      <c r="CL199" s="1742"/>
      <c r="CM199" s="1742"/>
      <c r="CN199" s="1742"/>
      <c r="CO199" s="1742"/>
      <c r="CP199" s="1742"/>
    </row>
    <row r="200" spans="1:94" ht="15" customHeight="1" x14ac:dyDescent="0.2">
      <c r="A200" s="1847"/>
      <c r="B200" s="1856"/>
      <c r="C200" s="652" t="s">
        <v>1701</v>
      </c>
      <c r="D200" s="936"/>
      <c r="E200" s="1831"/>
      <c r="F200" s="1225"/>
      <c r="G200" s="1767">
        <v>0</v>
      </c>
      <c r="H200" s="1767">
        <v>0</v>
      </c>
      <c r="I200" s="1767">
        <v>0</v>
      </c>
      <c r="J200" s="1767">
        <v>0</v>
      </c>
      <c r="K200" s="1767">
        <v>0</v>
      </c>
      <c r="L200" s="1767">
        <v>0</v>
      </c>
      <c r="M200" s="1767">
        <v>0</v>
      </c>
      <c r="N200" s="1767">
        <v>0</v>
      </c>
      <c r="O200" s="1767">
        <v>0</v>
      </c>
      <c r="P200" s="1767">
        <v>0</v>
      </c>
      <c r="Q200" s="1767">
        <v>0</v>
      </c>
      <c r="R200" s="1767">
        <v>0</v>
      </c>
      <c r="S200" s="1767">
        <v>0</v>
      </c>
      <c r="T200" s="1767">
        <v>0</v>
      </c>
      <c r="U200" s="1767">
        <v>0</v>
      </c>
      <c r="V200" s="1767">
        <v>0</v>
      </c>
      <c r="W200" s="1767">
        <v>0</v>
      </c>
      <c r="X200" s="1767">
        <v>0</v>
      </c>
      <c r="Y200" s="1767">
        <v>0</v>
      </c>
      <c r="Z200" s="1767">
        <v>0</v>
      </c>
      <c r="AA200" s="1767">
        <v>0</v>
      </c>
      <c r="AB200" s="1767">
        <v>0</v>
      </c>
      <c r="AC200" s="1767">
        <v>0</v>
      </c>
      <c r="AD200" s="1767">
        <v>0</v>
      </c>
      <c r="AE200" s="1767">
        <v>0</v>
      </c>
      <c r="AF200" s="1767">
        <v>0</v>
      </c>
      <c r="AG200" s="1767">
        <v>0</v>
      </c>
      <c r="AH200" s="1767">
        <v>0</v>
      </c>
      <c r="AI200" s="1767">
        <v>0</v>
      </c>
      <c r="AJ200" s="1767">
        <v>0</v>
      </c>
      <c r="AK200" s="1767">
        <v>0</v>
      </c>
      <c r="AL200" s="1767">
        <v>0</v>
      </c>
      <c r="AM200" s="1767">
        <v>0</v>
      </c>
      <c r="AN200" s="1767">
        <v>0</v>
      </c>
      <c r="AO200" s="1767">
        <v>0</v>
      </c>
      <c r="AP200" s="1767">
        <v>0</v>
      </c>
      <c r="AQ200" s="1767">
        <v>0</v>
      </c>
      <c r="AR200" s="1767">
        <v>0</v>
      </c>
      <c r="AS200" s="1767">
        <v>0</v>
      </c>
      <c r="AT200" s="1767">
        <v>0</v>
      </c>
      <c r="AU200" s="1767">
        <v>0</v>
      </c>
      <c r="AV200" s="1767">
        <v>0</v>
      </c>
      <c r="AW200" s="1767">
        <v>0</v>
      </c>
      <c r="AX200" s="1767">
        <v>0</v>
      </c>
      <c r="AY200" s="1767">
        <v>0</v>
      </c>
      <c r="AZ200" s="1767">
        <v>0</v>
      </c>
      <c r="BA200" s="1767">
        <v>0</v>
      </c>
      <c r="BB200" s="1767">
        <v>0</v>
      </c>
      <c r="BC200" s="1767">
        <v>0</v>
      </c>
      <c r="BD200" s="1767">
        <v>0</v>
      </c>
      <c r="BE200" s="1767">
        <v>0</v>
      </c>
      <c r="BF200" s="1767">
        <v>0</v>
      </c>
      <c r="BG200" s="1767">
        <v>0</v>
      </c>
      <c r="BH200" s="1767">
        <v>0</v>
      </c>
      <c r="BI200" s="1767">
        <v>0</v>
      </c>
      <c r="BJ200" s="1767">
        <v>0</v>
      </c>
      <c r="BK200" s="1767">
        <v>0</v>
      </c>
      <c r="BL200" s="1767">
        <v>0</v>
      </c>
      <c r="BM200" s="1767">
        <v>0</v>
      </c>
      <c r="BN200" s="1767">
        <v>0</v>
      </c>
      <c r="BO200" s="1767">
        <v>0</v>
      </c>
      <c r="BP200" s="1767">
        <v>0</v>
      </c>
      <c r="BQ200" s="1767">
        <v>0</v>
      </c>
      <c r="BR200" s="1767">
        <v>0</v>
      </c>
      <c r="BS200" s="1767">
        <v>0</v>
      </c>
      <c r="BT200" s="1767">
        <v>0</v>
      </c>
      <c r="BU200" s="1767">
        <v>0</v>
      </c>
      <c r="BV200" s="1767">
        <v>0</v>
      </c>
      <c r="BW200" s="1767">
        <v>0</v>
      </c>
      <c r="BX200" s="1767">
        <v>0</v>
      </c>
      <c r="BY200" s="1767">
        <v>0</v>
      </c>
      <c r="BZ200" s="1767">
        <v>0</v>
      </c>
      <c r="CA200" s="1767">
        <v>0</v>
      </c>
      <c r="CB200" s="1767">
        <v>0</v>
      </c>
      <c r="CC200" s="1767">
        <v>0</v>
      </c>
      <c r="CD200" s="1767">
        <v>0</v>
      </c>
      <c r="CE200" s="1767">
        <v>0</v>
      </c>
      <c r="CF200" s="1767">
        <v>0</v>
      </c>
      <c r="CG200" s="1767">
        <v>0</v>
      </c>
      <c r="CH200" s="1767">
        <v>0</v>
      </c>
      <c r="CI200" s="1767">
        <v>0</v>
      </c>
      <c r="CJ200" s="1767">
        <v>0</v>
      </c>
      <c r="CK200" s="1767">
        <v>0</v>
      </c>
      <c r="CL200" s="1767">
        <v>0</v>
      </c>
      <c r="CM200" s="1767">
        <v>0</v>
      </c>
      <c r="CN200" s="1767">
        <v>0</v>
      </c>
      <c r="CO200" s="1767">
        <v>0</v>
      </c>
      <c r="CP200" s="1767">
        <v>0</v>
      </c>
    </row>
    <row r="201" spans="1:94" ht="15" customHeight="1" x14ac:dyDescent="0.2">
      <c r="A201" s="1847"/>
      <c r="B201" s="1856"/>
      <c r="C201" s="653" t="s">
        <v>2094</v>
      </c>
      <c r="D201" s="936"/>
      <c r="E201" s="1831"/>
      <c r="F201" s="1225"/>
      <c r="G201" s="1767">
        <v>0</v>
      </c>
      <c r="H201" s="1767">
        <v>0</v>
      </c>
      <c r="I201" s="1767">
        <v>0</v>
      </c>
      <c r="J201" s="1767">
        <v>0</v>
      </c>
      <c r="K201" s="1767">
        <v>0</v>
      </c>
      <c r="L201" s="1767">
        <v>0</v>
      </c>
      <c r="M201" s="1767">
        <v>0</v>
      </c>
      <c r="N201" s="1767">
        <v>0</v>
      </c>
      <c r="O201" s="1767">
        <v>0</v>
      </c>
      <c r="P201" s="1767">
        <v>0</v>
      </c>
      <c r="Q201" s="1767">
        <v>0</v>
      </c>
      <c r="R201" s="1767">
        <v>0</v>
      </c>
      <c r="S201" s="1767">
        <v>0</v>
      </c>
      <c r="T201" s="1767">
        <v>0</v>
      </c>
      <c r="U201" s="1767">
        <v>0</v>
      </c>
      <c r="V201" s="1767">
        <v>0</v>
      </c>
      <c r="W201" s="1767">
        <v>0</v>
      </c>
      <c r="X201" s="1767">
        <v>0</v>
      </c>
      <c r="Y201" s="1767">
        <v>0</v>
      </c>
      <c r="Z201" s="1767">
        <v>0</v>
      </c>
      <c r="AA201" s="1767">
        <v>0</v>
      </c>
      <c r="AB201" s="1767">
        <v>0</v>
      </c>
      <c r="AC201" s="1767">
        <v>0</v>
      </c>
      <c r="AD201" s="1767">
        <v>0</v>
      </c>
      <c r="AE201" s="1767">
        <v>0</v>
      </c>
      <c r="AF201" s="1767">
        <v>0</v>
      </c>
      <c r="AG201" s="1767">
        <v>0</v>
      </c>
      <c r="AH201" s="1767">
        <v>0</v>
      </c>
      <c r="AI201" s="1767">
        <v>0</v>
      </c>
      <c r="AJ201" s="1767">
        <v>0</v>
      </c>
      <c r="AK201" s="1767">
        <v>0</v>
      </c>
      <c r="AL201" s="1767">
        <v>0</v>
      </c>
      <c r="AM201" s="1767">
        <v>0</v>
      </c>
      <c r="AN201" s="1767">
        <v>0</v>
      </c>
      <c r="AO201" s="1767">
        <v>0</v>
      </c>
      <c r="AP201" s="1767">
        <v>0</v>
      </c>
      <c r="AQ201" s="1767">
        <v>0</v>
      </c>
      <c r="AR201" s="1767">
        <v>0</v>
      </c>
      <c r="AS201" s="1767">
        <v>0</v>
      </c>
      <c r="AT201" s="1767">
        <v>0</v>
      </c>
      <c r="AU201" s="1767">
        <v>0</v>
      </c>
      <c r="AV201" s="1767">
        <v>0</v>
      </c>
      <c r="AW201" s="1767">
        <v>0</v>
      </c>
      <c r="AX201" s="1767">
        <v>0</v>
      </c>
      <c r="AY201" s="1767">
        <v>0</v>
      </c>
      <c r="AZ201" s="1767">
        <v>0</v>
      </c>
      <c r="BA201" s="1767">
        <v>0</v>
      </c>
      <c r="BB201" s="1767">
        <v>0</v>
      </c>
      <c r="BC201" s="1767">
        <v>0</v>
      </c>
      <c r="BD201" s="1767">
        <v>0</v>
      </c>
      <c r="BE201" s="1767">
        <v>0</v>
      </c>
      <c r="BF201" s="1767">
        <v>0</v>
      </c>
      <c r="BG201" s="1767">
        <v>0</v>
      </c>
      <c r="BH201" s="1767">
        <v>0</v>
      </c>
      <c r="BI201" s="1767">
        <v>0</v>
      </c>
      <c r="BJ201" s="1767">
        <v>0</v>
      </c>
      <c r="BK201" s="1767">
        <v>0</v>
      </c>
      <c r="BL201" s="1767">
        <v>0</v>
      </c>
      <c r="BM201" s="1767">
        <v>0</v>
      </c>
      <c r="BN201" s="1767">
        <v>0</v>
      </c>
      <c r="BO201" s="1767">
        <v>0</v>
      </c>
      <c r="BP201" s="1767">
        <v>0</v>
      </c>
      <c r="BQ201" s="1767">
        <v>0</v>
      </c>
      <c r="BR201" s="1767">
        <v>0</v>
      </c>
      <c r="BS201" s="1767">
        <v>0</v>
      </c>
      <c r="BT201" s="1767">
        <v>0</v>
      </c>
      <c r="BU201" s="1767">
        <v>0</v>
      </c>
      <c r="BV201" s="1767">
        <v>0</v>
      </c>
      <c r="BW201" s="1767">
        <v>0</v>
      </c>
      <c r="BX201" s="1767">
        <v>0</v>
      </c>
      <c r="BY201" s="1767">
        <v>0</v>
      </c>
      <c r="BZ201" s="1767">
        <v>0</v>
      </c>
      <c r="CA201" s="1767">
        <v>0</v>
      </c>
      <c r="CB201" s="1767">
        <v>0</v>
      </c>
      <c r="CC201" s="1767">
        <v>0</v>
      </c>
      <c r="CD201" s="1767">
        <v>0</v>
      </c>
      <c r="CE201" s="1767">
        <v>0</v>
      </c>
      <c r="CF201" s="1767">
        <v>0</v>
      </c>
      <c r="CG201" s="1767">
        <v>0</v>
      </c>
      <c r="CH201" s="1767">
        <v>0</v>
      </c>
      <c r="CI201" s="1767">
        <v>0</v>
      </c>
      <c r="CJ201" s="1767">
        <v>0</v>
      </c>
      <c r="CK201" s="1767">
        <v>0</v>
      </c>
      <c r="CL201" s="1767">
        <v>0</v>
      </c>
      <c r="CM201" s="1767">
        <v>0</v>
      </c>
      <c r="CN201" s="1767">
        <v>0</v>
      </c>
      <c r="CO201" s="1767">
        <v>0</v>
      </c>
      <c r="CP201" s="1767">
        <v>0</v>
      </c>
    </row>
    <row r="202" spans="1:94" ht="27" customHeight="1" thickBot="1" x14ac:dyDescent="0.25">
      <c r="A202" s="1848"/>
      <c r="B202" s="1857"/>
      <c r="C202" s="654" t="s">
        <v>1702</v>
      </c>
      <c r="D202" s="949"/>
      <c r="E202" s="1832"/>
      <c r="F202" s="1225"/>
      <c r="G202" s="1767">
        <v>0</v>
      </c>
      <c r="H202" s="1767">
        <v>0</v>
      </c>
      <c r="I202" s="1767">
        <v>0</v>
      </c>
      <c r="J202" s="1767">
        <v>0</v>
      </c>
      <c r="K202" s="1767">
        <v>0</v>
      </c>
      <c r="L202" s="1767">
        <v>0</v>
      </c>
      <c r="M202" s="1767">
        <v>0</v>
      </c>
      <c r="N202" s="1767">
        <v>0</v>
      </c>
      <c r="O202" s="1767">
        <v>0</v>
      </c>
      <c r="P202" s="1767">
        <v>0</v>
      </c>
      <c r="Q202" s="1767">
        <v>0</v>
      </c>
      <c r="R202" s="1767">
        <v>0</v>
      </c>
      <c r="S202" s="1767">
        <v>0</v>
      </c>
      <c r="T202" s="1767">
        <v>0</v>
      </c>
      <c r="U202" s="1767">
        <v>0</v>
      </c>
      <c r="V202" s="1767">
        <v>0</v>
      </c>
      <c r="W202" s="1767">
        <v>0</v>
      </c>
      <c r="X202" s="1767">
        <v>0</v>
      </c>
      <c r="Y202" s="1767">
        <v>0</v>
      </c>
      <c r="Z202" s="1767">
        <v>0</v>
      </c>
      <c r="AA202" s="1767">
        <v>0</v>
      </c>
      <c r="AB202" s="1767">
        <v>0</v>
      </c>
      <c r="AC202" s="1767">
        <v>0</v>
      </c>
      <c r="AD202" s="1767">
        <v>0</v>
      </c>
      <c r="AE202" s="1767">
        <v>0</v>
      </c>
      <c r="AF202" s="1767">
        <v>0</v>
      </c>
      <c r="AG202" s="1767">
        <v>0</v>
      </c>
      <c r="AH202" s="1767">
        <v>0</v>
      </c>
      <c r="AI202" s="1767">
        <v>0</v>
      </c>
      <c r="AJ202" s="1767">
        <v>0</v>
      </c>
      <c r="AK202" s="1767">
        <v>0</v>
      </c>
      <c r="AL202" s="1767">
        <v>0</v>
      </c>
      <c r="AM202" s="1767">
        <v>0</v>
      </c>
      <c r="AN202" s="1767">
        <v>0</v>
      </c>
      <c r="AO202" s="1767">
        <v>0</v>
      </c>
      <c r="AP202" s="1767">
        <v>0</v>
      </c>
      <c r="AQ202" s="1767">
        <v>0</v>
      </c>
      <c r="AR202" s="1767">
        <v>0</v>
      </c>
      <c r="AS202" s="1767">
        <v>0</v>
      </c>
      <c r="AT202" s="1767">
        <v>0</v>
      </c>
      <c r="AU202" s="1767">
        <v>0</v>
      </c>
      <c r="AV202" s="1767">
        <v>0</v>
      </c>
      <c r="AW202" s="1767">
        <v>0</v>
      </c>
      <c r="AX202" s="1767">
        <v>0</v>
      </c>
      <c r="AY202" s="1767">
        <v>0</v>
      </c>
      <c r="AZ202" s="1767">
        <v>0</v>
      </c>
      <c r="BA202" s="1767">
        <v>0</v>
      </c>
      <c r="BB202" s="1767">
        <v>0</v>
      </c>
      <c r="BC202" s="1767">
        <v>0</v>
      </c>
      <c r="BD202" s="1767">
        <v>0</v>
      </c>
      <c r="BE202" s="1767">
        <v>0</v>
      </c>
      <c r="BF202" s="1767">
        <v>0</v>
      </c>
      <c r="BG202" s="1767">
        <v>0</v>
      </c>
      <c r="BH202" s="1767">
        <v>0</v>
      </c>
      <c r="BI202" s="1767">
        <v>0</v>
      </c>
      <c r="BJ202" s="1767">
        <v>0</v>
      </c>
      <c r="BK202" s="1767">
        <v>0</v>
      </c>
      <c r="BL202" s="1767">
        <v>0</v>
      </c>
      <c r="BM202" s="1767">
        <v>0</v>
      </c>
      <c r="BN202" s="1767">
        <v>0</v>
      </c>
      <c r="BO202" s="1767">
        <v>0</v>
      </c>
      <c r="BP202" s="1767">
        <v>0</v>
      </c>
      <c r="BQ202" s="1767">
        <v>0</v>
      </c>
      <c r="BR202" s="1767">
        <v>0</v>
      </c>
      <c r="BS202" s="1767">
        <v>0</v>
      </c>
      <c r="BT202" s="1767">
        <v>0</v>
      </c>
      <c r="BU202" s="1767">
        <v>0</v>
      </c>
      <c r="BV202" s="1767">
        <v>0</v>
      </c>
      <c r="BW202" s="1767">
        <v>0</v>
      </c>
      <c r="BX202" s="1767">
        <v>0</v>
      </c>
      <c r="BY202" s="1767">
        <v>0</v>
      </c>
      <c r="BZ202" s="1767">
        <v>0</v>
      </c>
      <c r="CA202" s="1767">
        <v>0</v>
      </c>
      <c r="CB202" s="1767">
        <v>0</v>
      </c>
      <c r="CC202" s="1767">
        <v>0</v>
      </c>
      <c r="CD202" s="1767">
        <v>0</v>
      </c>
      <c r="CE202" s="1767">
        <v>0</v>
      </c>
      <c r="CF202" s="1767">
        <v>0</v>
      </c>
      <c r="CG202" s="1767">
        <v>0</v>
      </c>
      <c r="CH202" s="1767">
        <v>0</v>
      </c>
      <c r="CI202" s="1767">
        <v>0</v>
      </c>
      <c r="CJ202" s="1767">
        <v>0</v>
      </c>
      <c r="CK202" s="1767">
        <v>0</v>
      </c>
      <c r="CL202" s="1767">
        <v>0</v>
      </c>
      <c r="CM202" s="1767">
        <v>0</v>
      </c>
      <c r="CN202" s="1767">
        <v>0</v>
      </c>
      <c r="CO202" s="1767">
        <v>0</v>
      </c>
      <c r="CP202" s="1767">
        <v>0</v>
      </c>
    </row>
    <row r="203" spans="1:94" ht="42.75" thickBot="1" x14ac:dyDescent="0.25">
      <c r="A203" s="651" t="s">
        <v>1313</v>
      </c>
      <c r="B203" s="716" t="s">
        <v>1703</v>
      </c>
      <c r="C203" s="1779" t="s">
        <v>2530</v>
      </c>
      <c r="D203" s="967"/>
      <c r="E203" s="828"/>
      <c r="F203" s="1225"/>
      <c r="G203" s="1767">
        <v>0</v>
      </c>
      <c r="H203" s="1767">
        <v>0</v>
      </c>
      <c r="I203" s="1767">
        <v>0</v>
      </c>
      <c r="J203" s="1767">
        <v>0</v>
      </c>
      <c r="K203" s="1767">
        <v>0</v>
      </c>
      <c r="L203" s="1767">
        <v>0</v>
      </c>
      <c r="M203" s="1767">
        <v>0</v>
      </c>
      <c r="N203" s="1767">
        <v>0</v>
      </c>
      <c r="O203" s="1767">
        <v>0</v>
      </c>
      <c r="P203" s="1767">
        <v>0</v>
      </c>
      <c r="Q203" s="1767">
        <v>0</v>
      </c>
      <c r="R203" s="1767">
        <v>0</v>
      </c>
      <c r="S203" s="1767">
        <v>0</v>
      </c>
      <c r="T203" s="1767">
        <v>0</v>
      </c>
      <c r="U203" s="1767">
        <v>0</v>
      </c>
      <c r="V203" s="1767">
        <v>0</v>
      </c>
      <c r="W203" s="1767">
        <v>0</v>
      </c>
      <c r="X203" s="1767">
        <v>0</v>
      </c>
      <c r="Y203" s="1767">
        <v>0</v>
      </c>
      <c r="Z203" s="1767">
        <v>0</v>
      </c>
      <c r="AA203" s="1767">
        <v>0</v>
      </c>
      <c r="AB203" s="1767">
        <v>0</v>
      </c>
      <c r="AC203" s="1767">
        <v>0</v>
      </c>
      <c r="AD203" s="1767">
        <v>0</v>
      </c>
      <c r="AE203" s="1767">
        <v>0</v>
      </c>
      <c r="AF203" s="1767">
        <v>0</v>
      </c>
      <c r="AG203" s="1767">
        <v>0</v>
      </c>
      <c r="AH203" s="1767">
        <v>0</v>
      </c>
      <c r="AI203" s="1767">
        <v>0</v>
      </c>
      <c r="AJ203" s="1767">
        <v>0</v>
      </c>
      <c r="AK203" s="1767">
        <v>0</v>
      </c>
      <c r="AL203" s="1767">
        <v>0</v>
      </c>
      <c r="AM203" s="1767">
        <v>0</v>
      </c>
      <c r="AN203" s="1767">
        <v>0</v>
      </c>
      <c r="AO203" s="1767">
        <v>0</v>
      </c>
      <c r="AP203" s="1767">
        <v>0</v>
      </c>
      <c r="AQ203" s="1767">
        <v>0</v>
      </c>
      <c r="AR203" s="1767">
        <v>0</v>
      </c>
      <c r="AS203" s="1767">
        <v>0</v>
      </c>
      <c r="AT203" s="1767">
        <v>0</v>
      </c>
      <c r="AU203" s="1767">
        <v>0</v>
      </c>
      <c r="AV203" s="1767">
        <v>0</v>
      </c>
      <c r="AW203" s="1767">
        <v>0</v>
      </c>
      <c r="AX203" s="1767">
        <v>0</v>
      </c>
      <c r="AY203" s="1767">
        <v>0</v>
      </c>
      <c r="AZ203" s="1767">
        <v>0</v>
      </c>
      <c r="BA203" s="1767">
        <v>0</v>
      </c>
      <c r="BB203" s="1767">
        <v>0</v>
      </c>
      <c r="BC203" s="1767">
        <v>0</v>
      </c>
      <c r="BD203" s="1767">
        <v>0</v>
      </c>
      <c r="BE203" s="1767">
        <v>0</v>
      </c>
      <c r="BF203" s="1767">
        <v>0</v>
      </c>
      <c r="BG203" s="1767">
        <v>0</v>
      </c>
      <c r="BH203" s="1767">
        <v>0</v>
      </c>
      <c r="BI203" s="1767">
        <v>0</v>
      </c>
      <c r="BJ203" s="1767">
        <v>0</v>
      </c>
      <c r="BK203" s="1767">
        <v>0</v>
      </c>
      <c r="BL203" s="1767">
        <v>0</v>
      </c>
      <c r="BM203" s="1767">
        <v>0</v>
      </c>
      <c r="BN203" s="1767">
        <v>0</v>
      </c>
      <c r="BO203" s="1767">
        <v>0</v>
      </c>
      <c r="BP203" s="1767">
        <v>0</v>
      </c>
      <c r="BQ203" s="1767">
        <v>0</v>
      </c>
      <c r="BR203" s="1767">
        <v>0</v>
      </c>
      <c r="BS203" s="1767">
        <v>0</v>
      </c>
      <c r="BT203" s="1767">
        <v>0</v>
      </c>
      <c r="BU203" s="1767">
        <v>0</v>
      </c>
      <c r="BV203" s="1767">
        <v>0</v>
      </c>
      <c r="BW203" s="1767">
        <v>0</v>
      </c>
      <c r="BX203" s="1767">
        <v>0</v>
      </c>
      <c r="BY203" s="1767">
        <v>0</v>
      </c>
      <c r="BZ203" s="1767">
        <v>0</v>
      </c>
      <c r="CA203" s="1767">
        <v>0</v>
      </c>
      <c r="CB203" s="1767">
        <v>0</v>
      </c>
      <c r="CC203" s="1767">
        <v>0</v>
      </c>
      <c r="CD203" s="1767">
        <v>0</v>
      </c>
      <c r="CE203" s="1767">
        <v>0</v>
      </c>
      <c r="CF203" s="1767">
        <v>0</v>
      </c>
      <c r="CG203" s="1767">
        <v>0</v>
      </c>
      <c r="CH203" s="1767">
        <v>0</v>
      </c>
      <c r="CI203" s="1767">
        <v>0</v>
      </c>
      <c r="CJ203" s="1767">
        <v>0</v>
      </c>
      <c r="CK203" s="1767">
        <v>0</v>
      </c>
      <c r="CL203" s="1767">
        <v>0</v>
      </c>
      <c r="CM203" s="1767">
        <v>0</v>
      </c>
      <c r="CN203" s="1767">
        <v>0</v>
      </c>
      <c r="CO203" s="1767">
        <v>0</v>
      </c>
      <c r="CP203" s="1767">
        <v>0</v>
      </c>
    </row>
    <row r="204" spans="1:94" ht="30" customHeight="1" thickBot="1" x14ac:dyDescent="0.25">
      <c r="A204" s="1833" t="s">
        <v>1314</v>
      </c>
      <c r="B204" s="1833" t="s">
        <v>433</v>
      </c>
      <c r="C204" s="1781" t="s">
        <v>2531</v>
      </c>
      <c r="D204" s="948"/>
      <c r="E204" s="1837" t="s">
        <v>1824</v>
      </c>
      <c r="F204" s="1225"/>
      <c r="G204" s="1742"/>
      <c r="H204" s="1742"/>
      <c r="I204" s="1742"/>
      <c r="J204" s="1742"/>
      <c r="K204" s="1742"/>
      <c r="L204" s="1742"/>
      <c r="M204" s="1742"/>
      <c r="N204" s="1742"/>
      <c r="O204" s="1742"/>
      <c r="P204" s="1742"/>
      <c r="Q204" s="1742"/>
      <c r="R204" s="1742"/>
      <c r="S204" s="1742"/>
      <c r="T204" s="1742"/>
      <c r="U204" s="1742"/>
      <c r="V204" s="1742"/>
      <c r="W204" s="1742"/>
      <c r="X204" s="1742"/>
      <c r="Y204" s="1742"/>
      <c r="Z204" s="1742"/>
      <c r="AA204" s="1742"/>
      <c r="AB204" s="1742"/>
      <c r="AC204" s="1742"/>
      <c r="AD204" s="1742"/>
      <c r="AE204" s="1742"/>
      <c r="AF204" s="1742"/>
      <c r="AG204" s="1742"/>
      <c r="AH204" s="1742"/>
      <c r="AI204" s="1742"/>
      <c r="AJ204" s="1742"/>
      <c r="AK204" s="1742"/>
      <c r="AL204" s="1742"/>
      <c r="AM204" s="1742"/>
      <c r="AN204" s="1742"/>
      <c r="AO204" s="1742"/>
      <c r="AP204" s="1742"/>
      <c r="AQ204" s="1742"/>
      <c r="AR204" s="1742"/>
      <c r="AS204" s="1742"/>
      <c r="AT204" s="1742"/>
      <c r="AU204" s="1742"/>
      <c r="AV204" s="1742"/>
      <c r="AW204" s="1742"/>
      <c r="AX204" s="1742"/>
      <c r="AY204" s="1742"/>
      <c r="AZ204" s="1742"/>
      <c r="BA204" s="1742"/>
      <c r="BB204" s="1742"/>
      <c r="BC204" s="1742"/>
      <c r="BD204" s="1742"/>
      <c r="BE204" s="1742"/>
      <c r="BF204" s="1742"/>
      <c r="BG204" s="1742"/>
      <c r="BH204" s="1742"/>
      <c r="BI204" s="1742"/>
      <c r="BJ204" s="1742"/>
      <c r="BK204" s="1742"/>
      <c r="BL204" s="1742"/>
      <c r="BM204" s="1742"/>
      <c r="BN204" s="1742"/>
      <c r="BO204" s="1742"/>
      <c r="BP204" s="1742"/>
      <c r="BQ204" s="1742"/>
      <c r="BR204" s="1742"/>
      <c r="BS204" s="1742"/>
      <c r="BT204" s="1742"/>
      <c r="BU204" s="1742"/>
      <c r="BV204" s="1742"/>
      <c r="BW204" s="1742"/>
      <c r="BX204" s="1742"/>
      <c r="BY204" s="1742"/>
      <c r="BZ204" s="1742"/>
      <c r="CA204" s="1742"/>
      <c r="CB204" s="1742"/>
      <c r="CC204" s="1742"/>
      <c r="CD204" s="1742"/>
      <c r="CE204" s="1742"/>
      <c r="CF204" s="1742"/>
      <c r="CG204" s="1742"/>
      <c r="CH204" s="1742"/>
      <c r="CI204" s="1742"/>
      <c r="CJ204" s="1742"/>
      <c r="CK204" s="1742"/>
      <c r="CL204" s="1742"/>
      <c r="CM204" s="1742"/>
      <c r="CN204" s="1742"/>
      <c r="CO204" s="1742"/>
      <c r="CP204" s="1742"/>
    </row>
    <row r="205" spans="1:94" ht="15" customHeight="1" x14ac:dyDescent="0.2">
      <c r="A205" s="1847"/>
      <c r="B205" s="1834"/>
      <c r="C205" s="669" t="s">
        <v>1704</v>
      </c>
      <c r="D205" s="936"/>
      <c r="E205" s="1837"/>
      <c r="F205" s="1225"/>
      <c r="G205" s="1767">
        <v>0</v>
      </c>
      <c r="H205" s="1767">
        <v>0</v>
      </c>
      <c r="I205" s="1767">
        <v>0</v>
      </c>
      <c r="J205" s="1767">
        <v>0</v>
      </c>
      <c r="K205" s="1767">
        <v>0</v>
      </c>
      <c r="L205" s="1767">
        <v>0</v>
      </c>
      <c r="M205" s="1767">
        <v>0</v>
      </c>
      <c r="N205" s="1767">
        <v>0</v>
      </c>
      <c r="O205" s="1767">
        <v>0</v>
      </c>
      <c r="P205" s="1767">
        <v>0</v>
      </c>
      <c r="Q205" s="1767">
        <v>0</v>
      </c>
      <c r="R205" s="1767">
        <v>0</v>
      </c>
      <c r="S205" s="1767">
        <v>0</v>
      </c>
      <c r="T205" s="1767">
        <v>0</v>
      </c>
      <c r="U205" s="1767">
        <v>0</v>
      </c>
      <c r="V205" s="1767">
        <v>0</v>
      </c>
      <c r="W205" s="1767">
        <v>0</v>
      </c>
      <c r="X205" s="1767">
        <v>0</v>
      </c>
      <c r="Y205" s="1767">
        <v>0</v>
      </c>
      <c r="Z205" s="1767">
        <v>0</v>
      </c>
      <c r="AA205" s="1767">
        <v>0</v>
      </c>
      <c r="AB205" s="1767">
        <v>0</v>
      </c>
      <c r="AC205" s="1767">
        <v>0</v>
      </c>
      <c r="AD205" s="1767">
        <v>0</v>
      </c>
      <c r="AE205" s="1767">
        <v>0</v>
      </c>
      <c r="AF205" s="1767">
        <v>0</v>
      </c>
      <c r="AG205" s="1767">
        <v>0</v>
      </c>
      <c r="AH205" s="1767">
        <v>0</v>
      </c>
      <c r="AI205" s="1767">
        <v>0</v>
      </c>
      <c r="AJ205" s="1767">
        <v>0</v>
      </c>
      <c r="AK205" s="1767">
        <v>0</v>
      </c>
      <c r="AL205" s="1767">
        <v>0</v>
      </c>
      <c r="AM205" s="1767">
        <v>0</v>
      </c>
      <c r="AN205" s="1767">
        <v>0</v>
      </c>
      <c r="AO205" s="1767">
        <v>0</v>
      </c>
      <c r="AP205" s="1767">
        <v>0</v>
      </c>
      <c r="AQ205" s="1767">
        <v>0</v>
      </c>
      <c r="AR205" s="1767">
        <v>0</v>
      </c>
      <c r="AS205" s="1767">
        <v>0</v>
      </c>
      <c r="AT205" s="1767">
        <v>0</v>
      </c>
      <c r="AU205" s="1767">
        <v>0</v>
      </c>
      <c r="AV205" s="1767">
        <v>0</v>
      </c>
      <c r="AW205" s="1767">
        <v>0</v>
      </c>
      <c r="AX205" s="1767">
        <v>0</v>
      </c>
      <c r="AY205" s="1767">
        <v>0</v>
      </c>
      <c r="AZ205" s="1767">
        <v>0</v>
      </c>
      <c r="BA205" s="1767">
        <v>0</v>
      </c>
      <c r="BB205" s="1767">
        <v>0</v>
      </c>
      <c r="BC205" s="1767">
        <v>0</v>
      </c>
      <c r="BD205" s="1767">
        <v>0</v>
      </c>
      <c r="BE205" s="1767">
        <v>0</v>
      </c>
      <c r="BF205" s="1767">
        <v>0</v>
      </c>
      <c r="BG205" s="1767">
        <v>0</v>
      </c>
      <c r="BH205" s="1767">
        <v>0</v>
      </c>
      <c r="BI205" s="1767">
        <v>0</v>
      </c>
      <c r="BJ205" s="1767">
        <v>0</v>
      </c>
      <c r="BK205" s="1767">
        <v>0</v>
      </c>
      <c r="BL205" s="1767">
        <v>0</v>
      </c>
      <c r="BM205" s="1767">
        <v>0</v>
      </c>
      <c r="BN205" s="1767">
        <v>0</v>
      </c>
      <c r="BO205" s="1767">
        <v>0</v>
      </c>
      <c r="BP205" s="1767">
        <v>0</v>
      </c>
      <c r="BQ205" s="1767">
        <v>0</v>
      </c>
      <c r="BR205" s="1767">
        <v>0</v>
      </c>
      <c r="BS205" s="1767">
        <v>0</v>
      </c>
      <c r="BT205" s="1767">
        <v>0</v>
      </c>
      <c r="BU205" s="1767">
        <v>0</v>
      </c>
      <c r="BV205" s="1767">
        <v>0</v>
      </c>
      <c r="BW205" s="1767">
        <v>0</v>
      </c>
      <c r="BX205" s="1767">
        <v>0</v>
      </c>
      <c r="BY205" s="1767">
        <v>0</v>
      </c>
      <c r="BZ205" s="1767">
        <v>0</v>
      </c>
      <c r="CA205" s="1767">
        <v>0</v>
      </c>
      <c r="CB205" s="1767">
        <v>0</v>
      </c>
      <c r="CC205" s="1767">
        <v>0</v>
      </c>
      <c r="CD205" s="1767">
        <v>0</v>
      </c>
      <c r="CE205" s="1767">
        <v>0</v>
      </c>
      <c r="CF205" s="1767">
        <v>0</v>
      </c>
      <c r="CG205" s="1767">
        <v>0</v>
      </c>
      <c r="CH205" s="1767">
        <v>0</v>
      </c>
      <c r="CI205" s="1767">
        <v>0</v>
      </c>
      <c r="CJ205" s="1767">
        <v>0</v>
      </c>
      <c r="CK205" s="1767">
        <v>0</v>
      </c>
      <c r="CL205" s="1767">
        <v>0</v>
      </c>
      <c r="CM205" s="1767">
        <v>0</v>
      </c>
      <c r="CN205" s="1767">
        <v>0</v>
      </c>
      <c r="CO205" s="1767">
        <v>0</v>
      </c>
      <c r="CP205" s="1767">
        <v>0</v>
      </c>
    </row>
    <row r="206" spans="1:94" ht="15" customHeight="1" x14ac:dyDescent="0.2">
      <c r="A206" s="1847"/>
      <c r="B206" s="1834"/>
      <c r="C206" s="663" t="s">
        <v>161</v>
      </c>
      <c r="D206" s="936"/>
      <c r="E206" s="1837"/>
      <c r="F206" s="1225"/>
      <c r="G206" s="1767">
        <v>0</v>
      </c>
      <c r="H206" s="1767">
        <v>0</v>
      </c>
      <c r="I206" s="1767">
        <v>0</v>
      </c>
      <c r="J206" s="1767">
        <v>0</v>
      </c>
      <c r="K206" s="1767">
        <v>0</v>
      </c>
      <c r="L206" s="1767">
        <v>0</v>
      </c>
      <c r="M206" s="1767">
        <v>0</v>
      </c>
      <c r="N206" s="1767">
        <v>0</v>
      </c>
      <c r="O206" s="1767">
        <v>0</v>
      </c>
      <c r="P206" s="1767">
        <v>0</v>
      </c>
      <c r="Q206" s="1767">
        <v>0</v>
      </c>
      <c r="R206" s="1767">
        <v>0</v>
      </c>
      <c r="S206" s="1767">
        <v>0</v>
      </c>
      <c r="T206" s="1767">
        <v>0</v>
      </c>
      <c r="U206" s="1767">
        <v>0</v>
      </c>
      <c r="V206" s="1767">
        <v>0</v>
      </c>
      <c r="W206" s="1767">
        <v>0</v>
      </c>
      <c r="X206" s="1767">
        <v>0</v>
      </c>
      <c r="Y206" s="1767">
        <v>0</v>
      </c>
      <c r="Z206" s="1767">
        <v>0</v>
      </c>
      <c r="AA206" s="1767">
        <v>0</v>
      </c>
      <c r="AB206" s="1767">
        <v>0</v>
      </c>
      <c r="AC206" s="1767">
        <v>0</v>
      </c>
      <c r="AD206" s="1767">
        <v>0</v>
      </c>
      <c r="AE206" s="1767">
        <v>0</v>
      </c>
      <c r="AF206" s="1767">
        <v>0</v>
      </c>
      <c r="AG206" s="1767">
        <v>0</v>
      </c>
      <c r="AH206" s="1767">
        <v>0</v>
      </c>
      <c r="AI206" s="1767">
        <v>0</v>
      </c>
      <c r="AJ206" s="1767">
        <v>0</v>
      </c>
      <c r="AK206" s="1767">
        <v>0</v>
      </c>
      <c r="AL206" s="1767">
        <v>0</v>
      </c>
      <c r="AM206" s="1767">
        <v>0</v>
      </c>
      <c r="AN206" s="1767">
        <v>0</v>
      </c>
      <c r="AO206" s="1767">
        <v>0</v>
      </c>
      <c r="AP206" s="1767">
        <v>0</v>
      </c>
      <c r="AQ206" s="1767">
        <v>0</v>
      </c>
      <c r="AR206" s="1767">
        <v>0</v>
      </c>
      <c r="AS206" s="1767">
        <v>0</v>
      </c>
      <c r="AT206" s="1767">
        <v>0</v>
      </c>
      <c r="AU206" s="1767">
        <v>0</v>
      </c>
      <c r="AV206" s="1767">
        <v>0</v>
      </c>
      <c r="AW206" s="1767">
        <v>0</v>
      </c>
      <c r="AX206" s="1767">
        <v>0</v>
      </c>
      <c r="AY206" s="1767">
        <v>0</v>
      </c>
      <c r="AZ206" s="1767">
        <v>0</v>
      </c>
      <c r="BA206" s="1767">
        <v>0</v>
      </c>
      <c r="BB206" s="1767">
        <v>0</v>
      </c>
      <c r="BC206" s="1767">
        <v>0</v>
      </c>
      <c r="BD206" s="1767">
        <v>0</v>
      </c>
      <c r="BE206" s="1767">
        <v>0</v>
      </c>
      <c r="BF206" s="1767">
        <v>0</v>
      </c>
      <c r="BG206" s="1767">
        <v>0</v>
      </c>
      <c r="BH206" s="1767">
        <v>0</v>
      </c>
      <c r="BI206" s="1767">
        <v>0</v>
      </c>
      <c r="BJ206" s="1767">
        <v>0</v>
      </c>
      <c r="BK206" s="1767">
        <v>0</v>
      </c>
      <c r="BL206" s="1767">
        <v>0</v>
      </c>
      <c r="BM206" s="1767">
        <v>0</v>
      </c>
      <c r="BN206" s="1767">
        <v>0</v>
      </c>
      <c r="BO206" s="1767">
        <v>0</v>
      </c>
      <c r="BP206" s="1767">
        <v>0</v>
      </c>
      <c r="BQ206" s="1767">
        <v>0</v>
      </c>
      <c r="BR206" s="1767">
        <v>0</v>
      </c>
      <c r="BS206" s="1767">
        <v>0</v>
      </c>
      <c r="BT206" s="1767">
        <v>0</v>
      </c>
      <c r="BU206" s="1767">
        <v>0</v>
      </c>
      <c r="BV206" s="1767">
        <v>0</v>
      </c>
      <c r="BW206" s="1767">
        <v>0</v>
      </c>
      <c r="BX206" s="1767">
        <v>0</v>
      </c>
      <c r="BY206" s="1767">
        <v>0</v>
      </c>
      <c r="BZ206" s="1767">
        <v>0</v>
      </c>
      <c r="CA206" s="1767">
        <v>0</v>
      </c>
      <c r="CB206" s="1767">
        <v>0</v>
      </c>
      <c r="CC206" s="1767">
        <v>0</v>
      </c>
      <c r="CD206" s="1767">
        <v>0</v>
      </c>
      <c r="CE206" s="1767">
        <v>0</v>
      </c>
      <c r="CF206" s="1767">
        <v>0</v>
      </c>
      <c r="CG206" s="1767">
        <v>0</v>
      </c>
      <c r="CH206" s="1767">
        <v>0</v>
      </c>
      <c r="CI206" s="1767">
        <v>0</v>
      </c>
      <c r="CJ206" s="1767">
        <v>0</v>
      </c>
      <c r="CK206" s="1767">
        <v>0</v>
      </c>
      <c r="CL206" s="1767">
        <v>0</v>
      </c>
      <c r="CM206" s="1767">
        <v>0</v>
      </c>
      <c r="CN206" s="1767">
        <v>0</v>
      </c>
      <c r="CO206" s="1767">
        <v>0</v>
      </c>
      <c r="CP206" s="1767">
        <v>0</v>
      </c>
    </row>
    <row r="207" spans="1:94" ht="15" customHeight="1" thickBot="1" x14ac:dyDescent="0.25">
      <c r="A207" s="1847"/>
      <c r="B207" s="1834"/>
      <c r="C207" s="649" t="s">
        <v>630</v>
      </c>
      <c r="D207" s="949"/>
      <c r="E207" s="1837"/>
      <c r="F207" s="1225"/>
      <c r="G207" s="1767">
        <v>0</v>
      </c>
      <c r="H207" s="1767">
        <v>0</v>
      </c>
      <c r="I207" s="1767">
        <v>0</v>
      </c>
      <c r="J207" s="1767">
        <v>0</v>
      </c>
      <c r="K207" s="1767">
        <v>0</v>
      </c>
      <c r="L207" s="1767">
        <v>0</v>
      </c>
      <c r="M207" s="1767">
        <v>0</v>
      </c>
      <c r="N207" s="1767">
        <v>0</v>
      </c>
      <c r="O207" s="1767">
        <v>0</v>
      </c>
      <c r="P207" s="1767">
        <v>0</v>
      </c>
      <c r="Q207" s="1767">
        <v>0</v>
      </c>
      <c r="R207" s="1767">
        <v>0</v>
      </c>
      <c r="S207" s="1767">
        <v>0</v>
      </c>
      <c r="T207" s="1767">
        <v>0</v>
      </c>
      <c r="U207" s="1767">
        <v>0</v>
      </c>
      <c r="V207" s="1767">
        <v>0</v>
      </c>
      <c r="W207" s="1767">
        <v>0</v>
      </c>
      <c r="X207" s="1767">
        <v>0</v>
      </c>
      <c r="Y207" s="1767">
        <v>0</v>
      </c>
      <c r="Z207" s="1767">
        <v>0</v>
      </c>
      <c r="AA207" s="1767">
        <v>0</v>
      </c>
      <c r="AB207" s="1767">
        <v>0</v>
      </c>
      <c r="AC207" s="1767">
        <v>0</v>
      </c>
      <c r="AD207" s="1767">
        <v>0</v>
      </c>
      <c r="AE207" s="1767">
        <v>0</v>
      </c>
      <c r="AF207" s="1767">
        <v>0</v>
      </c>
      <c r="AG207" s="1767">
        <v>0</v>
      </c>
      <c r="AH207" s="1767">
        <v>0</v>
      </c>
      <c r="AI207" s="1767">
        <v>0</v>
      </c>
      <c r="AJ207" s="1767">
        <v>0</v>
      </c>
      <c r="AK207" s="1767">
        <v>0</v>
      </c>
      <c r="AL207" s="1767">
        <v>0</v>
      </c>
      <c r="AM207" s="1767">
        <v>0</v>
      </c>
      <c r="AN207" s="1767">
        <v>0</v>
      </c>
      <c r="AO207" s="1767">
        <v>0</v>
      </c>
      <c r="AP207" s="1767">
        <v>0</v>
      </c>
      <c r="AQ207" s="1767">
        <v>0</v>
      </c>
      <c r="AR207" s="1767">
        <v>0</v>
      </c>
      <c r="AS207" s="1767">
        <v>0</v>
      </c>
      <c r="AT207" s="1767">
        <v>0</v>
      </c>
      <c r="AU207" s="1767">
        <v>0</v>
      </c>
      <c r="AV207" s="1767">
        <v>0</v>
      </c>
      <c r="AW207" s="1767">
        <v>0</v>
      </c>
      <c r="AX207" s="1767">
        <v>0</v>
      </c>
      <c r="AY207" s="1767">
        <v>0</v>
      </c>
      <c r="AZ207" s="1767">
        <v>0</v>
      </c>
      <c r="BA207" s="1767">
        <v>0</v>
      </c>
      <c r="BB207" s="1767">
        <v>0</v>
      </c>
      <c r="BC207" s="1767">
        <v>0</v>
      </c>
      <c r="BD207" s="1767">
        <v>0</v>
      </c>
      <c r="BE207" s="1767">
        <v>0</v>
      </c>
      <c r="BF207" s="1767">
        <v>0</v>
      </c>
      <c r="BG207" s="1767">
        <v>0</v>
      </c>
      <c r="BH207" s="1767">
        <v>0</v>
      </c>
      <c r="BI207" s="1767">
        <v>0</v>
      </c>
      <c r="BJ207" s="1767">
        <v>0</v>
      </c>
      <c r="BK207" s="1767">
        <v>0</v>
      </c>
      <c r="BL207" s="1767">
        <v>0</v>
      </c>
      <c r="BM207" s="1767">
        <v>0</v>
      </c>
      <c r="BN207" s="1767">
        <v>0</v>
      </c>
      <c r="BO207" s="1767">
        <v>0</v>
      </c>
      <c r="BP207" s="1767">
        <v>0</v>
      </c>
      <c r="BQ207" s="1767">
        <v>0</v>
      </c>
      <c r="BR207" s="1767">
        <v>0</v>
      </c>
      <c r="BS207" s="1767">
        <v>0</v>
      </c>
      <c r="BT207" s="1767">
        <v>0</v>
      </c>
      <c r="BU207" s="1767">
        <v>0</v>
      </c>
      <c r="BV207" s="1767">
        <v>0</v>
      </c>
      <c r="BW207" s="1767">
        <v>0</v>
      </c>
      <c r="BX207" s="1767">
        <v>0</v>
      </c>
      <c r="BY207" s="1767">
        <v>0</v>
      </c>
      <c r="BZ207" s="1767">
        <v>0</v>
      </c>
      <c r="CA207" s="1767">
        <v>0</v>
      </c>
      <c r="CB207" s="1767">
        <v>0</v>
      </c>
      <c r="CC207" s="1767">
        <v>0</v>
      </c>
      <c r="CD207" s="1767">
        <v>0</v>
      </c>
      <c r="CE207" s="1767">
        <v>0</v>
      </c>
      <c r="CF207" s="1767">
        <v>0</v>
      </c>
      <c r="CG207" s="1767">
        <v>0</v>
      </c>
      <c r="CH207" s="1767">
        <v>0</v>
      </c>
      <c r="CI207" s="1767">
        <v>0</v>
      </c>
      <c r="CJ207" s="1767">
        <v>0</v>
      </c>
      <c r="CK207" s="1767">
        <v>0</v>
      </c>
      <c r="CL207" s="1767">
        <v>0</v>
      </c>
      <c r="CM207" s="1767">
        <v>0</v>
      </c>
      <c r="CN207" s="1767">
        <v>0</v>
      </c>
      <c r="CO207" s="1767">
        <v>0</v>
      </c>
      <c r="CP207" s="1767">
        <v>0</v>
      </c>
    </row>
    <row r="208" spans="1:94" ht="45" customHeight="1" thickBot="1" x14ac:dyDescent="0.25">
      <c r="A208" s="651" t="s">
        <v>1315</v>
      </c>
      <c r="B208" s="718" t="s">
        <v>445</v>
      </c>
      <c r="C208" s="1777" t="s">
        <v>1714</v>
      </c>
      <c r="D208" s="968"/>
      <c r="E208" s="829" t="s">
        <v>1825</v>
      </c>
      <c r="F208" s="1225"/>
      <c r="G208" s="1768">
        <v>0</v>
      </c>
      <c r="H208" s="1768">
        <v>0</v>
      </c>
      <c r="I208" s="1768">
        <v>0</v>
      </c>
      <c r="J208" s="1768">
        <v>0</v>
      </c>
      <c r="K208" s="1768">
        <v>0</v>
      </c>
      <c r="L208" s="1768">
        <v>0</v>
      </c>
      <c r="M208" s="1768">
        <v>0</v>
      </c>
      <c r="N208" s="1768">
        <v>0</v>
      </c>
      <c r="O208" s="1768">
        <v>0</v>
      </c>
      <c r="P208" s="1768">
        <v>0</v>
      </c>
      <c r="Q208" s="1768">
        <v>0</v>
      </c>
      <c r="R208" s="1768">
        <v>0</v>
      </c>
      <c r="S208" s="1768">
        <v>0</v>
      </c>
      <c r="T208" s="1768">
        <v>0</v>
      </c>
      <c r="U208" s="1768">
        <v>0</v>
      </c>
      <c r="V208" s="1768">
        <v>0</v>
      </c>
      <c r="W208" s="1768">
        <v>0</v>
      </c>
      <c r="X208" s="1768">
        <v>0</v>
      </c>
      <c r="Y208" s="1768">
        <v>0</v>
      </c>
      <c r="Z208" s="1768">
        <v>0</v>
      </c>
      <c r="AA208" s="1768">
        <v>0</v>
      </c>
      <c r="AB208" s="1768">
        <v>0</v>
      </c>
      <c r="AC208" s="1768">
        <v>0</v>
      </c>
      <c r="AD208" s="1768">
        <v>0</v>
      </c>
      <c r="AE208" s="1768">
        <v>0</v>
      </c>
      <c r="AF208" s="1768">
        <v>0</v>
      </c>
      <c r="AG208" s="1768">
        <v>0</v>
      </c>
      <c r="AH208" s="1768">
        <v>0</v>
      </c>
      <c r="AI208" s="1768">
        <v>0</v>
      </c>
      <c r="AJ208" s="1768">
        <v>0</v>
      </c>
      <c r="AK208" s="1768">
        <v>0</v>
      </c>
      <c r="AL208" s="1768">
        <v>0</v>
      </c>
      <c r="AM208" s="1768">
        <v>0</v>
      </c>
      <c r="AN208" s="1768">
        <v>0</v>
      </c>
      <c r="AO208" s="1768">
        <v>0</v>
      </c>
      <c r="AP208" s="1768">
        <v>0</v>
      </c>
      <c r="AQ208" s="1768">
        <v>0</v>
      </c>
      <c r="AR208" s="1768">
        <v>0</v>
      </c>
      <c r="AS208" s="1768">
        <v>0</v>
      </c>
      <c r="AT208" s="1768">
        <v>0</v>
      </c>
      <c r="AU208" s="1768">
        <v>0</v>
      </c>
      <c r="AV208" s="1768">
        <v>0</v>
      </c>
      <c r="AW208" s="1768">
        <v>0</v>
      </c>
      <c r="AX208" s="1768">
        <v>0</v>
      </c>
      <c r="AY208" s="1768">
        <v>0</v>
      </c>
      <c r="AZ208" s="1768">
        <v>0</v>
      </c>
      <c r="BA208" s="1768">
        <v>0</v>
      </c>
      <c r="BB208" s="1768">
        <v>0</v>
      </c>
      <c r="BC208" s="1768">
        <v>0</v>
      </c>
      <c r="BD208" s="1768">
        <v>0</v>
      </c>
      <c r="BE208" s="1768">
        <v>0</v>
      </c>
      <c r="BF208" s="1768">
        <v>0</v>
      </c>
      <c r="BG208" s="1768">
        <v>0</v>
      </c>
      <c r="BH208" s="1768">
        <v>0</v>
      </c>
      <c r="BI208" s="1768">
        <v>0</v>
      </c>
      <c r="BJ208" s="1768">
        <v>0</v>
      </c>
      <c r="BK208" s="1768">
        <v>0</v>
      </c>
      <c r="BL208" s="1768">
        <v>0</v>
      </c>
      <c r="BM208" s="1768">
        <v>0</v>
      </c>
      <c r="BN208" s="1768">
        <v>0</v>
      </c>
      <c r="BO208" s="1768">
        <v>0</v>
      </c>
      <c r="BP208" s="1768">
        <v>0</v>
      </c>
      <c r="BQ208" s="1768">
        <v>0</v>
      </c>
      <c r="BR208" s="1768">
        <v>0</v>
      </c>
      <c r="BS208" s="1768">
        <v>0</v>
      </c>
      <c r="BT208" s="1768">
        <v>0</v>
      </c>
      <c r="BU208" s="1768">
        <v>0</v>
      </c>
      <c r="BV208" s="1768">
        <v>0</v>
      </c>
      <c r="BW208" s="1768">
        <v>0</v>
      </c>
      <c r="BX208" s="1768">
        <v>0</v>
      </c>
      <c r="BY208" s="1768">
        <v>0</v>
      </c>
      <c r="BZ208" s="1768">
        <v>0</v>
      </c>
      <c r="CA208" s="1768">
        <v>0</v>
      </c>
      <c r="CB208" s="1768">
        <v>0</v>
      </c>
      <c r="CC208" s="1768">
        <v>0</v>
      </c>
      <c r="CD208" s="1768">
        <v>0</v>
      </c>
      <c r="CE208" s="1768">
        <v>0</v>
      </c>
      <c r="CF208" s="1768">
        <v>0</v>
      </c>
      <c r="CG208" s="1768">
        <v>0</v>
      </c>
      <c r="CH208" s="1768">
        <v>0</v>
      </c>
      <c r="CI208" s="1768">
        <v>0</v>
      </c>
      <c r="CJ208" s="1768">
        <v>0</v>
      </c>
      <c r="CK208" s="1768">
        <v>0</v>
      </c>
      <c r="CL208" s="1768">
        <v>0</v>
      </c>
      <c r="CM208" s="1768">
        <v>0</v>
      </c>
      <c r="CN208" s="1768">
        <v>0</v>
      </c>
      <c r="CO208" s="1768">
        <v>0</v>
      </c>
      <c r="CP208" s="1768">
        <v>0</v>
      </c>
    </row>
    <row r="209" spans="1:94" ht="33.75" customHeight="1" thickBot="1" x14ac:dyDescent="0.25">
      <c r="A209" s="1357" t="s">
        <v>1316</v>
      </c>
      <c r="B209" s="1363" t="s">
        <v>444</v>
      </c>
      <c r="C209" s="1785" t="s">
        <v>2055</v>
      </c>
      <c r="D209" s="967"/>
      <c r="E209" s="1366" t="s">
        <v>1826</v>
      </c>
      <c r="F209" s="1225"/>
      <c r="G209" s="1767">
        <v>0</v>
      </c>
      <c r="H209" s="1767">
        <v>0</v>
      </c>
      <c r="I209" s="1767">
        <v>0</v>
      </c>
      <c r="J209" s="1767">
        <v>0</v>
      </c>
      <c r="K209" s="1767">
        <v>0</v>
      </c>
      <c r="L209" s="1767">
        <v>0</v>
      </c>
      <c r="M209" s="1767">
        <v>0</v>
      </c>
      <c r="N209" s="1767">
        <v>0</v>
      </c>
      <c r="O209" s="1767">
        <v>0</v>
      </c>
      <c r="P209" s="1767">
        <v>0</v>
      </c>
      <c r="Q209" s="1767">
        <v>0</v>
      </c>
      <c r="R209" s="1767">
        <v>0</v>
      </c>
      <c r="S209" s="1767">
        <v>0</v>
      </c>
      <c r="T209" s="1767">
        <v>0</v>
      </c>
      <c r="U209" s="1767">
        <v>0</v>
      </c>
      <c r="V209" s="1767">
        <v>0</v>
      </c>
      <c r="W209" s="1767">
        <v>0</v>
      </c>
      <c r="X209" s="1767">
        <v>0</v>
      </c>
      <c r="Y209" s="1767">
        <v>0</v>
      </c>
      <c r="Z209" s="1767">
        <v>0</v>
      </c>
      <c r="AA209" s="1767">
        <v>0</v>
      </c>
      <c r="AB209" s="1767">
        <v>0</v>
      </c>
      <c r="AC209" s="1767">
        <v>0</v>
      </c>
      <c r="AD209" s="1767">
        <v>0</v>
      </c>
      <c r="AE209" s="1767">
        <v>0</v>
      </c>
      <c r="AF209" s="1767">
        <v>0</v>
      </c>
      <c r="AG209" s="1767">
        <v>0</v>
      </c>
      <c r="AH209" s="1767">
        <v>0</v>
      </c>
      <c r="AI209" s="1767">
        <v>0</v>
      </c>
      <c r="AJ209" s="1767">
        <v>0</v>
      </c>
      <c r="AK209" s="1767">
        <v>0</v>
      </c>
      <c r="AL209" s="1767">
        <v>0</v>
      </c>
      <c r="AM209" s="1767">
        <v>0</v>
      </c>
      <c r="AN209" s="1767">
        <v>0</v>
      </c>
      <c r="AO209" s="1767">
        <v>0</v>
      </c>
      <c r="AP209" s="1767">
        <v>0</v>
      </c>
      <c r="AQ209" s="1767">
        <v>0</v>
      </c>
      <c r="AR209" s="1767">
        <v>0</v>
      </c>
      <c r="AS209" s="1767">
        <v>0</v>
      </c>
      <c r="AT209" s="1767">
        <v>0</v>
      </c>
      <c r="AU209" s="1767">
        <v>0</v>
      </c>
      <c r="AV209" s="1767">
        <v>0</v>
      </c>
      <c r="AW209" s="1767">
        <v>0</v>
      </c>
      <c r="AX209" s="1767">
        <v>0</v>
      </c>
      <c r="AY209" s="1767">
        <v>0</v>
      </c>
      <c r="AZ209" s="1767">
        <v>0</v>
      </c>
      <c r="BA209" s="1767">
        <v>0</v>
      </c>
      <c r="BB209" s="1767">
        <v>0</v>
      </c>
      <c r="BC209" s="1767">
        <v>0</v>
      </c>
      <c r="BD209" s="1767">
        <v>0</v>
      </c>
      <c r="BE209" s="1767">
        <v>0</v>
      </c>
      <c r="BF209" s="1767">
        <v>0</v>
      </c>
      <c r="BG209" s="1767">
        <v>0</v>
      </c>
      <c r="BH209" s="1767">
        <v>0</v>
      </c>
      <c r="BI209" s="1767">
        <v>0</v>
      </c>
      <c r="BJ209" s="1767">
        <v>0</v>
      </c>
      <c r="BK209" s="1767">
        <v>0</v>
      </c>
      <c r="BL209" s="1767">
        <v>0</v>
      </c>
      <c r="BM209" s="1767">
        <v>0</v>
      </c>
      <c r="BN209" s="1767">
        <v>0</v>
      </c>
      <c r="BO209" s="1767">
        <v>0</v>
      </c>
      <c r="BP209" s="1767">
        <v>0</v>
      </c>
      <c r="BQ209" s="1767">
        <v>0</v>
      </c>
      <c r="BR209" s="1767">
        <v>0</v>
      </c>
      <c r="BS209" s="1767">
        <v>0</v>
      </c>
      <c r="BT209" s="1767">
        <v>0</v>
      </c>
      <c r="BU209" s="1767">
        <v>0</v>
      </c>
      <c r="BV209" s="1767">
        <v>0</v>
      </c>
      <c r="BW209" s="1767">
        <v>0</v>
      </c>
      <c r="BX209" s="1767">
        <v>0</v>
      </c>
      <c r="BY209" s="1767">
        <v>0</v>
      </c>
      <c r="BZ209" s="1767">
        <v>0</v>
      </c>
      <c r="CA209" s="1767">
        <v>0</v>
      </c>
      <c r="CB209" s="1767">
        <v>0</v>
      </c>
      <c r="CC209" s="1767">
        <v>0</v>
      </c>
      <c r="CD209" s="1767">
        <v>0</v>
      </c>
      <c r="CE209" s="1767">
        <v>0</v>
      </c>
      <c r="CF209" s="1767">
        <v>0</v>
      </c>
      <c r="CG209" s="1767">
        <v>0</v>
      </c>
      <c r="CH209" s="1767">
        <v>0</v>
      </c>
      <c r="CI209" s="1767">
        <v>0</v>
      </c>
      <c r="CJ209" s="1767">
        <v>0</v>
      </c>
      <c r="CK209" s="1767">
        <v>0</v>
      </c>
      <c r="CL209" s="1767">
        <v>0</v>
      </c>
      <c r="CM209" s="1767">
        <v>0</v>
      </c>
      <c r="CN209" s="1767">
        <v>0</v>
      </c>
      <c r="CO209" s="1767">
        <v>0</v>
      </c>
      <c r="CP209" s="1767">
        <v>0</v>
      </c>
    </row>
    <row r="210" spans="1:94" ht="33" customHeight="1" thickBot="1" x14ac:dyDescent="0.25">
      <c r="A210" s="651" t="s">
        <v>23</v>
      </c>
      <c r="B210" s="718" t="s">
        <v>446</v>
      </c>
      <c r="C210" s="1777" t="s">
        <v>2054</v>
      </c>
      <c r="D210" s="967"/>
      <c r="E210" s="829" t="s">
        <v>1827</v>
      </c>
      <c r="F210" s="1225"/>
      <c r="G210" s="1767">
        <v>0</v>
      </c>
      <c r="H210" s="1767">
        <v>0</v>
      </c>
      <c r="I210" s="1767">
        <v>0</v>
      </c>
      <c r="J210" s="1767">
        <v>0</v>
      </c>
      <c r="K210" s="1767">
        <v>0</v>
      </c>
      <c r="L210" s="1767">
        <v>0</v>
      </c>
      <c r="M210" s="1767">
        <v>0</v>
      </c>
      <c r="N210" s="1767">
        <v>0</v>
      </c>
      <c r="O210" s="1767">
        <v>0</v>
      </c>
      <c r="P210" s="1767">
        <v>0</v>
      </c>
      <c r="Q210" s="1767">
        <v>0</v>
      </c>
      <c r="R210" s="1767">
        <v>0</v>
      </c>
      <c r="S210" s="1767">
        <v>0</v>
      </c>
      <c r="T210" s="1767">
        <v>0</v>
      </c>
      <c r="U210" s="1767">
        <v>0</v>
      </c>
      <c r="V210" s="1767">
        <v>0</v>
      </c>
      <c r="W210" s="1767">
        <v>0</v>
      </c>
      <c r="X210" s="1767">
        <v>0</v>
      </c>
      <c r="Y210" s="1767">
        <v>0</v>
      </c>
      <c r="Z210" s="1767">
        <v>0</v>
      </c>
      <c r="AA210" s="1767">
        <v>0</v>
      </c>
      <c r="AB210" s="1767">
        <v>0</v>
      </c>
      <c r="AC210" s="1767">
        <v>0</v>
      </c>
      <c r="AD210" s="1767">
        <v>0</v>
      </c>
      <c r="AE210" s="1767">
        <v>0</v>
      </c>
      <c r="AF210" s="1767">
        <v>0</v>
      </c>
      <c r="AG210" s="1767">
        <v>0</v>
      </c>
      <c r="AH210" s="1767">
        <v>0</v>
      </c>
      <c r="AI210" s="1767">
        <v>0</v>
      </c>
      <c r="AJ210" s="1767">
        <v>0</v>
      </c>
      <c r="AK210" s="1767">
        <v>0</v>
      </c>
      <c r="AL210" s="1767">
        <v>0</v>
      </c>
      <c r="AM210" s="1767">
        <v>0</v>
      </c>
      <c r="AN210" s="1767">
        <v>0</v>
      </c>
      <c r="AO210" s="1767">
        <v>0</v>
      </c>
      <c r="AP210" s="1767">
        <v>0</v>
      </c>
      <c r="AQ210" s="1767">
        <v>0</v>
      </c>
      <c r="AR210" s="1767">
        <v>0</v>
      </c>
      <c r="AS210" s="1767">
        <v>0</v>
      </c>
      <c r="AT210" s="1767">
        <v>0</v>
      </c>
      <c r="AU210" s="1767">
        <v>0</v>
      </c>
      <c r="AV210" s="1767">
        <v>0</v>
      </c>
      <c r="AW210" s="1767">
        <v>0</v>
      </c>
      <c r="AX210" s="1767">
        <v>0</v>
      </c>
      <c r="AY210" s="1767">
        <v>0</v>
      </c>
      <c r="AZ210" s="1767">
        <v>0</v>
      </c>
      <c r="BA210" s="1767">
        <v>0</v>
      </c>
      <c r="BB210" s="1767">
        <v>0</v>
      </c>
      <c r="BC210" s="1767">
        <v>0</v>
      </c>
      <c r="BD210" s="1767">
        <v>0</v>
      </c>
      <c r="BE210" s="1767">
        <v>0</v>
      </c>
      <c r="BF210" s="1767">
        <v>0</v>
      </c>
      <c r="BG210" s="1767">
        <v>0</v>
      </c>
      <c r="BH210" s="1767">
        <v>0</v>
      </c>
      <c r="BI210" s="1767">
        <v>0</v>
      </c>
      <c r="BJ210" s="1767">
        <v>0</v>
      </c>
      <c r="BK210" s="1767">
        <v>0</v>
      </c>
      <c r="BL210" s="1767">
        <v>0</v>
      </c>
      <c r="BM210" s="1767">
        <v>0</v>
      </c>
      <c r="BN210" s="1767">
        <v>0</v>
      </c>
      <c r="BO210" s="1767">
        <v>0</v>
      </c>
      <c r="BP210" s="1767">
        <v>0</v>
      </c>
      <c r="BQ210" s="1767">
        <v>0</v>
      </c>
      <c r="BR210" s="1767">
        <v>0</v>
      </c>
      <c r="BS210" s="1767">
        <v>0</v>
      </c>
      <c r="BT210" s="1767">
        <v>0</v>
      </c>
      <c r="BU210" s="1767">
        <v>0</v>
      </c>
      <c r="BV210" s="1767">
        <v>0</v>
      </c>
      <c r="BW210" s="1767">
        <v>0</v>
      </c>
      <c r="BX210" s="1767">
        <v>0</v>
      </c>
      <c r="BY210" s="1767">
        <v>0</v>
      </c>
      <c r="BZ210" s="1767">
        <v>0</v>
      </c>
      <c r="CA210" s="1767">
        <v>0</v>
      </c>
      <c r="CB210" s="1767">
        <v>0</v>
      </c>
      <c r="CC210" s="1767">
        <v>0</v>
      </c>
      <c r="CD210" s="1767">
        <v>0</v>
      </c>
      <c r="CE210" s="1767">
        <v>0</v>
      </c>
      <c r="CF210" s="1767">
        <v>0</v>
      </c>
      <c r="CG210" s="1767">
        <v>0</v>
      </c>
      <c r="CH210" s="1767">
        <v>0</v>
      </c>
      <c r="CI210" s="1767">
        <v>0</v>
      </c>
      <c r="CJ210" s="1767">
        <v>0</v>
      </c>
      <c r="CK210" s="1767">
        <v>0</v>
      </c>
      <c r="CL210" s="1767">
        <v>0</v>
      </c>
      <c r="CM210" s="1767">
        <v>0</v>
      </c>
      <c r="CN210" s="1767">
        <v>0</v>
      </c>
      <c r="CO210" s="1767">
        <v>0</v>
      </c>
      <c r="CP210" s="1767">
        <v>0</v>
      </c>
    </row>
    <row r="211" spans="1:94" ht="21" customHeight="1" thickBot="1" x14ac:dyDescent="0.25">
      <c r="A211" s="1846" t="s">
        <v>24</v>
      </c>
      <c r="B211" s="1846" t="s">
        <v>1329</v>
      </c>
      <c r="C211" s="1777" t="s">
        <v>1709</v>
      </c>
      <c r="D211" s="947"/>
      <c r="E211" s="1830" t="s">
        <v>2450</v>
      </c>
      <c r="F211" s="1225"/>
      <c r="G211" s="1742"/>
      <c r="H211" s="1742"/>
      <c r="I211" s="1742"/>
      <c r="J211" s="1742"/>
      <c r="K211" s="1742"/>
      <c r="L211" s="1742"/>
      <c r="M211" s="1742"/>
      <c r="N211" s="1742"/>
      <c r="O211" s="1742"/>
      <c r="P211" s="1742"/>
      <c r="Q211" s="1742"/>
      <c r="R211" s="1742"/>
      <c r="S211" s="1742"/>
      <c r="T211" s="1742"/>
      <c r="U211" s="1742"/>
      <c r="V211" s="1742"/>
      <c r="W211" s="1742"/>
      <c r="X211" s="1742"/>
      <c r="Y211" s="1742"/>
      <c r="Z211" s="1742"/>
      <c r="AA211" s="1742"/>
      <c r="AB211" s="1742"/>
      <c r="AC211" s="1742"/>
      <c r="AD211" s="1742"/>
      <c r="AE211" s="1742"/>
      <c r="AF211" s="1742"/>
      <c r="AG211" s="1742"/>
      <c r="AH211" s="1742"/>
      <c r="AI211" s="1742"/>
      <c r="AJ211" s="1742"/>
      <c r="AK211" s="1742"/>
      <c r="AL211" s="1742"/>
      <c r="AM211" s="1742"/>
      <c r="AN211" s="1742"/>
      <c r="AO211" s="1742"/>
      <c r="AP211" s="1742"/>
      <c r="AQ211" s="1742"/>
      <c r="AR211" s="1742"/>
      <c r="AS211" s="1742"/>
      <c r="AT211" s="1742"/>
      <c r="AU211" s="1742"/>
      <c r="AV211" s="1742"/>
      <c r="AW211" s="1742"/>
      <c r="AX211" s="1742"/>
      <c r="AY211" s="1742"/>
      <c r="AZ211" s="1742"/>
      <c r="BA211" s="1742"/>
      <c r="BB211" s="1742"/>
      <c r="BC211" s="1742"/>
      <c r="BD211" s="1742"/>
      <c r="BE211" s="1742"/>
      <c r="BF211" s="1742"/>
      <c r="BG211" s="1742"/>
      <c r="BH211" s="1742"/>
      <c r="BI211" s="1742"/>
      <c r="BJ211" s="1742"/>
      <c r="BK211" s="1742"/>
      <c r="BL211" s="1742"/>
      <c r="BM211" s="1742"/>
      <c r="BN211" s="1742"/>
      <c r="BO211" s="1742"/>
      <c r="BP211" s="1742"/>
      <c r="BQ211" s="1742"/>
      <c r="BR211" s="1742"/>
      <c r="BS211" s="1742"/>
      <c r="BT211" s="1742"/>
      <c r="BU211" s="1742"/>
      <c r="BV211" s="1742"/>
      <c r="BW211" s="1742"/>
      <c r="BX211" s="1742"/>
      <c r="BY211" s="1742"/>
      <c r="BZ211" s="1742"/>
      <c r="CA211" s="1742"/>
      <c r="CB211" s="1742"/>
      <c r="CC211" s="1742"/>
      <c r="CD211" s="1742"/>
      <c r="CE211" s="1742"/>
      <c r="CF211" s="1742"/>
      <c r="CG211" s="1742"/>
      <c r="CH211" s="1742"/>
      <c r="CI211" s="1742"/>
      <c r="CJ211" s="1742"/>
      <c r="CK211" s="1742"/>
      <c r="CL211" s="1742"/>
      <c r="CM211" s="1742"/>
      <c r="CN211" s="1742"/>
      <c r="CO211" s="1742"/>
      <c r="CP211" s="1742"/>
    </row>
    <row r="212" spans="1:94" ht="15" customHeight="1" x14ac:dyDescent="0.2">
      <c r="A212" s="1847"/>
      <c r="B212" s="1856"/>
      <c r="C212" s="652" t="s">
        <v>2439</v>
      </c>
      <c r="D212" s="936"/>
      <c r="E212" s="1831"/>
      <c r="F212" s="1225"/>
      <c r="G212" s="1767">
        <v>0</v>
      </c>
      <c r="H212" s="1767">
        <v>0</v>
      </c>
      <c r="I212" s="1767">
        <v>0</v>
      </c>
      <c r="J212" s="1767">
        <v>0</v>
      </c>
      <c r="K212" s="1767">
        <v>0</v>
      </c>
      <c r="L212" s="1767">
        <v>0</v>
      </c>
      <c r="M212" s="1767">
        <v>0</v>
      </c>
      <c r="N212" s="1767">
        <v>0</v>
      </c>
      <c r="O212" s="1767">
        <v>0</v>
      </c>
      <c r="P212" s="1767">
        <v>0</v>
      </c>
      <c r="Q212" s="1767">
        <v>0</v>
      </c>
      <c r="R212" s="1767">
        <v>0</v>
      </c>
      <c r="S212" s="1767">
        <v>0</v>
      </c>
      <c r="T212" s="1767">
        <v>0</v>
      </c>
      <c r="U212" s="1767">
        <v>0</v>
      </c>
      <c r="V212" s="1767">
        <v>0</v>
      </c>
      <c r="W212" s="1767">
        <v>0</v>
      </c>
      <c r="X212" s="1767">
        <v>0</v>
      </c>
      <c r="Y212" s="1767">
        <v>0</v>
      </c>
      <c r="Z212" s="1767">
        <v>0</v>
      </c>
      <c r="AA212" s="1767">
        <v>0</v>
      </c>
      <c r="AB212" s="1767">
        <v>0</v>
      </c>
      <c r="AC212" s="1767">
        <v>0</v>
      </c>
      <c r="AD212" s="1767">
        <v>0</v>
      </c>
      <c r="AE212" s="1767">
        <v>0</v>
      </c>
      <c r="AF212" s="1767">
        <v>0</v>
      </c>
      <c r="AG212" s="1767">
        <v>0</v>
      </c>
      <c r="AH212" s="1767">
        <v>0</v>
      </c>
      <c r="AI212" s="1767">
        <v>0</v>
      </c>
      <c r="AJ212" s="1767">
        <v>0</v>
      </c>
      <c r="AK212" s="1767">
        <v>0</v>
      </c>
      <c r="AL212" s="1767">
        <v>0</v>
      </c>
      <c r="AM212" s="1767">
        <v>0</v>
      </c>
      <c r="AN212" s="1767">
        <v>0</v>
      </c>
      <c r="AO212" s="1767">
        <v>0</v>
      </c>
      <c r="AP212" s="1767">
        <v>0</v>
      </c>
      <c r="AQ212" s="1767">
        <v>0</v>
      </c>
      <c r="AR212" s="1767">
        <v>0</v>
      </c>
      <c r="AS212" s="1767">
        <v>0</v>
      </c>
      <c r="AT212" s="1767">
        <v>0</v>
      </c>
      <c r="AU212" s="1767">
        <v>0</v>
      </c>
      <c r="AV212" s="1767">
        <v>0</v>
      </c>
      <c r="AW212" s="1767">
        <v>0</v>
      </c>
      <c r="AX212" s="1767">
        <v>0</v>
      </c>
      <c r="AY212" s="1767">
        <v>0</v>
      </c>
      <c r="AZ212" s="1767">
        <v>0</v>
      </c>
      <c r="BA212" s="1767">
        <v>0</v>
      </c>
      <c r="BB212" s="1767">
        <v>0</v>
      </c>
      <c r="BC212" s="1767">
        <v>0</v>
      </c>
      <c r="BD212" s="1767">
        <v>0</v>
      </c>
      <c r="BE212" s="1767">
        <v>0</v>
      </c>
      <c r="BF212" s="1767">
        <v>0</v>
      </c>
      <c r="BG212" s="1767">
        <v>0</v>
      </c>
      <c r="BH212" s="1767">
        <v>0</v>
      </c>
      <c r="BI212" s="1767">
        <v>0</v>
      </c>
      <c r="BJ212" s="1767">
        <v>0</v>
      </c>
      <c r="BK212" s="1767">
        <v>0</v>
      </c>
      <c r="BL212" s="1767">
        <v>0</v>
      </c>
      <c r="BM212" s="1767">
        <v>0</v>
      </c>
      <c r="BN212" s="1767">
        <v>0</v>
      </c>
      <c r="BO212" s="1767">
        <v>0</v>
      </c>
      <c r="BP212" s="1767">
        <v>0</v>
      </c>
      <c r="BQ212" s="1767">
        <v>0</v>
      </c>
      <c r="BR212" s="1767">
        <v>0</v>
      </c>
      <c r="BS212" s="1767">
        <v>0</v>
      </c>
      <c r="BT212" s="1767">
        <v>0</v>
      </c>
      <c r="BU212" s="1767">
        <v>0</v>
      </c>
      <c r="BV212" s="1767">
        <v>0</v>
      </c>
      <c r="BW212" s="1767">
        <v>0</v>
      </c>
      <c r="BX212" s="1767">
        <v>0</v>
      </c>
      <c r="BY212" s="1767">
        <v>0</v>
      </c>
      <c r="BZ212" s="1767">
        <v>0</v>
      </c>
      <c r="CA212" s="1767">
        <v>0</v>
      </c>
      <c r="CB212" s="1767">
        <v>0</v>
      </c>
      <c r="CC212" s="1767">
        <v>0</v>
      </c>
      <c r="CD212" s="1767">
        <v>0</v>
      </c>
      <c r="CE212" s="1767">
        <v>0</v>
      </c>
      <c r="CF212" s="1767">
        <v>0</v>
      </c>
      <c r="CG212" s="1767">
        <v>0</v>
      </c>
      <c r="CH212" s="1767">
        <v>0</v>
      </c>
      <c r="CI212" s="1767">
        <v>0</v>
      </c>
      <c r="CJ212" s="1767">
        <v>0</v>
      </c>
      <c r="CK212" s="1767">
        <v>0</v>
      </c>
      <c r="CL212" s="1767">
        <v>0</v>
      </c>
      <c r="CM212" s="1767">
        <v>0</v>
      </c>
      <c r="CN212" s="1767">
        <v>0</v>
      </c>
      <c r="CO212" s="1767">
        <v>0</v>
      </c>
      <c r="CP212" s="1767">
        <v>0</v>
      </c>
    </row>
    <row r="213" spans="1:94" ht="15" customHeight="1" x14ac:dyDescent="0.2">
      <c r="A213" s="1847"/>
      <c r="B213" s="1856"/>
      <c r="C213" s="652" t="s">
        <v>2125</v>
      </c>
      <c r="D213" s="936"/>
      <c r="E213" s="1831"/>
      <c r="F213" s="1225"/>
      <c r="G213" s="1767">
        <v>0</v>
      </c>
      <c r="H213" s="1767">
        <v>0</v>
      </c>
      <c r="I213" s="1767">
        <v>0</v>
      </c>
      <c r="J213" s="1767">
        <v>0</v>
      </c>
      <c r="K213" s="1767">
        <v>0</v>
      </c>
      <c r="L213" s="1767">
        <v>0</v>
      </c>
      <c r="M213" s="1767">
        <v>0</v>
      </c>
      <c r="N213" s="1767">
        <v>0</v>
      </c>
      <c r="O213" s="1767">
        <v>0</v>
      </c>
      <c r="P213" s="1767">
        <v>0</v>
      </c>
      <c r="Q213" s="1767">
        <v>0</v>
      </c>
      <c r="R213" s="1767">
        <v>0</v>
      </c>
      <c r="S213" s="1767">
        <v>0</v>
      </c>
      <c r="T213" s="1767">
        <v>0</v>
      </c>
      <c r="U213" s="1767">
        <v>0</v>
      </c>
      <c r="V213" s="1767">
        <v>0</v>
      </c>
      <c r="W213" s="1767">
        <v>0</v>
      </c>
      <c r="X213" s="1767">
        <v>0</v>
      </c>
      <c r="Y213" s="1767">
        <v>0</v>
      </c>
      <c r="Z213" s="1767">
        <v>0</v>
      </c>
      <c r="AA213" s="1767">
        <v>0</v>
      </c>
      <c r="AB213" s="1767">
        <v>0</v>
      </c>
      <c r="AC213" s="1767">
        <v>0</v>
      </c>
      <c r="AD213" s="1767">
        <v>0</v>
      </c>
      <c r="AE213" s="1767">
        <v>0</v>
      </c>
      <c r="AF213" s="1767">
        <v>0</v>
      </c>
      <c r="AG213" s="1767">
        <v>0</v>
      </c>
      <c r="AH213" s="1767">
        <v>0</v>
      </c>
      <c r="AI213" s="1767">
        <v>0</v>
      </c>
      <c r="AJ213" s="1767">
        <v>0</v>
      </c>
      <c r="AK213" s="1767">
        <v>0</v>
      </c>
      <c r="AL213" s="1767">
        <v>0</v>
      </c>
      <c r="AM213" s="1767">
        <v>0</v>
      </c>
      <c r="AN213" s="1767">
        <v>0</v>
      </c>
      <c r="AO213" s="1767">
        <v>0</v>
      </c>
      <c r="AP213" s="1767">
        <v>0</v>
      </c>
      <c r="AQ213" s="1767">
        <v>0</v>
      </c>
      <c r="AR213" s="1767">
        <v>0</v>
      </c>
      <c r="AS213" s="1767">
        <v>0</v>
      </c>
      <c r="AT213" s="1767">
        <v>0</v>
      </c>
      <c r="AU213" s="1767">
        <v>0</v>
      </c>
      <c r="AV213" s="1767">
        <v>0</v>
      </c>
      <c r="AW213" s="1767">
        <v>0</v>
      </c>
      <c r="AX213" s="1767">
        <v>0</v>
      </c>
      <c r="AY213" s="1767">
        <v>0</v>
      </c>
      <c r="AZ213" s="1767">
        <v>0</v>
      </c>
      <c r="BA213" s="1767">
        <v>0</v>
      </c>
      <c r="BB213" s="1767">
        <v>0</v>
      </c>
      <c r="BC213" s="1767">
        <v>0</v>
      </c>
      <c r="BD213" s="1767">
        <v>0</v>
      </c>
      <c r="BE213" s="1767">
        <v>0</v>
      </c>
      <c r="BF213" s="1767">
        <v>0</v>
      </c>
      <c r="BG213" s="1767">
        <v>0</v>
      </c>
      <c r="BH213" s="1767">
        <v>0</v>
      </c>
      <c r="BI213" s="1767">
        <v>0</v>
      </c>
      <c r="BJ213" s="1767">
        <v>0</v>
      </c>
      <c r="BK213" s="1767">
        <v>0</v>
      </c>
      <c r="BL213" s="1767">
        <v>0</v>
      </c>
      <c r="BM213" s="1767">
        <v>0</v>
      </c>
      <c r="BN213" s="1767">
        <v>0</v>
      </c>
      <c r="BO213" s="1767">
        <v>0</v>
      </c>
      <c r="BP213" s="1767">
        <v>0</v>
      </c>
      <c r="BQ213" s="1767">
        <v>0</v>
      </c>
      <c r="BR213" s="1767">
        <v>0</v>
      </c>
      <c r="BS213" s="1767">
        <v>0</v>
      </c>
      <c r="BT213" s="1767">
        <v>0</v>
      </c>
      <c r="BU213" s="1767">
        <v>0</v>
      </c>
      <c r="BV213" s="1767">
        <v>0</v>
      </c>
      <c r="BW213" s="1767">
        <v>0</v>
      </c>
      <c r="BX213" s="1767">
        <v>0</v>
      </c>
      <c r="BY213" s="1767">
        <v>0</v>
      </c>
      <c r="BZ213" s="1767">
        <v>0</v>
      </c>
      <c r="CA213" s="1767">
        <v>0</v>
      </c>
      <c r="CB213" s="1767">
        <v>0</v>
      </c>
      <c r="CC213" s="1767">
        <v>0</v>
      </c>
      <c r="CD213" s="1767">
        <v>0</v>
      </c>
      <c r="CE213" s="1767">
        <v>0</v>
      </c>
      <c r="CF213" s="1767">
        <v>0</v>
      </c>
      <c r="CG213" s="1767">
        <v>0</v>
      </c>
      <c r="CH213" s="1767">
        <v>0</v>
      </c>
      <c r="CI213" s="1767">
        <v>0</v>
      </c>
      <c r="CJ213" s="1767">
        <v>0</v>
      </c>
      <c r="CK213" s="1767">
        <v>0</v>
      </c>
      <c r="CL213" s="1767">
        <v>0</v>
      </c>
      <c r="CM213" s="1767">
        <v>0</v>
      </c>
      <c r="CN213" s="1767">
        <v>0</v>
      </c>
      <c r="CO213" s="1767">
        <v>0</v>
      </c>
      <c r="CP213" s="1767">
        <v>0</v>
      </c>
    </row>
    <row r="214" spans="1:94" ht="15" customHeight="1" x14ac:dyDescent="0.2">
      <c r="A214" s="1847"/>
      <c r="B214" s="1856"/>
      <c r="C214" s="969" t="s">
        <v>2044</v>
      </c>
      <c r="D214" s="964"/>
      <c r="E214" s="1831"/>
      <c r="F214" s="1225"/>
      <c r="G214" s="1767">
        <v>0</v>
      </c>
      <c r="H214" s="1767">
        <v>0</v>
      </c>
      <c r="I214" s="1767">
        <v>0</v>
      </c>
      <c r="J214" s="1767">
        <v>0</v>
      </c>
      <c r="K214" s="1767">
        <v>0</v>
      </c>
      <c r="L214" s="1767">
        <v>0</v>
      </c>
      <c r="M214" s="1767">
        <v>0</v>
      </c>
      <c r="N214" s="1767">
        <v>0</v>
      </c>
      <c r="O214" s="1767">
        <v>0</v>
      </c>
      <c r="P214" s="1767">
        <v>0</v>
      </c>
      <c r="Q214" s="1767">
        <v>0</v>
      </c>
      <c r="R214" s="1767">
        <v>0</v>
      </c>
      <c r="S214" s="1767">
        <v>0</v>
      </c>
      <c r="T214" s="1767">
        <v>0</v>
      </c>
      <c r="U214" s="1767">
        <v>0</v>
      </c>
      <c r="V214" s="1767">
        <v>0</v>
      </c>
      <c r="W214" s="1767">
        <v>0</v>
      </c>
      <c r="X214" s="1767">
        <v>0</v>
      </c>
      <c r="Y214" s="1767">
        <v>0</v>
      </c>
      <c r="Z214" s="1767">
        <v>0</v>
      </c>
      <c r="AA214" s="1767">
        <v>0</v>
      </c>
      <c r="AB214" s="1767">
        <v>0</v>
      </c>
      <c r="AC214" s="1767">
        <v>0</v>
      </c>
      <c r="AD214" s="1767">
        <v>0</v>
      </c>
      <c r="AE214" s="1767">
        <v>0</v>
      </c>
      <c r="AF214" s="1767">
        <v>0</v>
      </c>
      <c r="AG214" s="1767">
        <v>0</v>
      </c>
      <c r="AH214" s="1767">
        <v>0</v>
      </c>
      <c r="AI214" s="1767">
        <v>0</v>
      </c>
      <c r="AJ214" s="1767">
        <v>0</v>
      </c>
      <c r="AK214" s="1767">
        <v>0</v>
      </c>
      <c r="AL214" s="1767">
        <v>0</v>
      </c>
      <c r="AM214" s="1767">
        <v>0</v>
      </c>
      <c r="AN214" s="1767">
        <v>0</v>
      </c>
      <c r="AO214" s="1767">
        <v>0</v>
      </c>
      <c r="AP214" s="1767">
        <v>0</v>
      </c>
      <c r="AQ214" s="1767">
        <v>0</v>
      </c>
      <c r="AR214" s="1767">
        <v>0</v>
      </c>
      <c r="AS214" s="1767">
        <v>0</v>
      </c>
      <c r="AT214" s="1767">
        <v>0</v>
      </c>
      <c r="AU214" s="1767">
        <v>0</v>
      </c>
      <c r="AV214" s="1767">
        <v>0</v>
      </c>
      <c r="AW214" s="1767">
        <v>0</v>
      </c>
      <c r="AX214" s="1767">
        <v>0</v>
      </c>
      <c r="AY214" s="1767">
        <v>0</v>
      </c>
      <c r="AZ214" s="1767">
        <v>0</v>
      </c>
      <c r="BA214" s="1767">
        <v>0</v>
      </c>
      <c r="BB214" s="1767">
        <v>0</v>
      </c>
      <c r="BC214" s="1767">
        <v>0</v>
      </c>
      <c r="BD214" s="1767">
        <v>0</v>
      </c>
      <c r="BE214" s="1767">
        <v>0</v>
      </c>
      <c r="BF214" s="1767">
        <v>0</v>
      </c>
      <c r="BG214" s="1767">
        <v>0</v>
      </c>
      <c r="BH214" s="1767">
        <v>0</v>
      </c>
      <c r="BI214" s="1767">
        <v>0</v>
      </c>
      <c r="BJ214" s="1767">
        <v>0</v>
      </c>
      <c r="BK214" s="1767">
        <v>0</v>
      </c>
      <c r="BL214" s="1767">
        <v>0</v>
      </c>
      <c r="BM214" s="1767">
        <v>0</v>
      </c>
      <c r="BN214" s="1767">
        <v>0</v>
      </c>
      <c r="BO214" s="1767">
        <v>0</v>
      </c>
      <c r="BP214" s="1767">
        <v>0</v>
      </c>
      <c r="BQ214" s="1767">
        <v>0</v>
      </c>
      <c r="BR214" s="1767">
        <v>0</v>
      </c>
      <c r="BS214" s="1767">
        <v>0</v>
      </c>
      <c r="BT214" s="1767">
        <v>0</v>
      </c>
      <c r="BU214" s="1767">
        <v>0</v>
      </c>
      <c r="BV214" s="1767">
        <v>0</v>
      </c>
      <c r="BW214" s="1767">
        <v>0</v>
      </c>
      <c r="BX214" s="1767">
        <v>0</v>
      </c>
      <c r="BY214" s="1767">
        <v>0</v>
      </c>
      <c r="BZ214" s="1767">
        <v>0</v>
      </c>
      <c r="CA214" s="1767">
        <v>0</v>
      </c>
      <c r="CB214" s="1767">
        <v>0</v>
      </c>
      <c r="CC214" s="1767">
        <v>0</v>
      </c>
      <c r="CD214" s="1767">
        <v>0</v>
      </c>
      <c r="CE214" s="1767">
        <v>0</v>
      </c>
      <c r="CF214" s="1767">
        <v>0</v>
      </c>
      <c r="CG214" s="1767">
        <v>0</v>
      </c>
      <c r="CH214" s="1767">
        <v>0</v>
      </c>
      <c r="CI214" s="1767">
        <v>0</v>
      </c>
      <c r="CJ214" s="1767">
        <v>0</v>
      </c>
      <c r="CK214" s="1767">
        <v>0</v>
      </c>
      <c r="CL214" s="1767">
        <v>0</v>
      </c>
      <c r="CM214" s="1767">
        <v>0</v>
      </c>
      <c r="CN214" s="1767">
        <v>0</v>
      </c>
      <c r="CO214" s="1767">
        <v>0</v>
      </c>
      <c r="CP214" s="1767">
        <v>0</v>
      </c>
    </row>
    <row r="215" spans="1:94" ht="26.25" customHeight="1" thickBot="1" x14ac:dyDescent="0.25">
      <c r="A215" s="1848"/>
      <c r="B215" s="1857"/>
      <c r="C215" s="960" t="s">
        <v>1689</v>
      </c>
      <c r="D215" s="970"/>
      <c r="E215" s="1832"/>
      <c r="F215" s="1225"/>
      <c r="G215" s="1801"/>
      <c r="H215" s="1801"/>
      <c r="I215" s="1801"/>
      <c r="J215" s="1801"/>
      <c r="K215" s="1801"/>
      <c r="L215" s="1801"/>
      <c r="M215" s="1801"/>
      <c r="N215" s="1801"/>
      <c r="O215" s="1801"/>
      <c r="P215" s="1801"/>
      <c r="Q215" s="1801"/>
      <c r="R215" s="1801"/>
      <c r="S215" s="1801"/>
      <c r="T215" s="1801"/>
      <c r="U215" s="1801"/>
      <c r="V215" s="1801"/>
      <c r="W215" s="1801"/>
      <c r="X215" s="1801"/>
      <c r="Y215" s="1801"/>
      <c r="Z215" s="1801"/>
      <c r="AA215" s="1801"/>
      <c r="AB215" s="1801"/>
      <c r="AC215" s="1801"/>
      <c r="AD215" s="1801"/>
      <c r="AE215" s="1801"/>
      <c r="AF215" s="1801"/>
      <c r="AG215" s="1801"/>
      <c r="AH215" s="1801"/>
      <c r="AI215" s="1801"/>
      <c r="AJ215" s="1801"/>
      <c r="AK215" s="1801"/>
      <c r="AL215" s="1801"/>
      <c r="AM215" s="1801"/>
      <c r="AN215" s="1801"/>
      <c r="AO215" s="1801"/>
      <c r="AP215" s="1801"/>
      <c r="AQ215" s="1801"/>
      <c r="AR215" s="1801"/>
      <c r="AS215" s="1801"/>
      <c r="AT215" s="1801"/>
      <c r="AU215" s="1801"/>
      <c r="AV215" s="1801"/>
      <c r="AW215" s="1801"/>
      <c r="AX215" s="1801"/>
      <c r="AY215" s="1801"/>
      <c r="AZ215" s="1801"/>
      <c r="BA215" s="1801"/>
      <c r="BB215" s="1801"/>
      <c r="BC215" s="1801"/>
      <c r="BD215" s="1801"/>
      <c r="BE215" s="1801"/>
      <c r="BF215" s="1801"/>
      <c r="BG215" s="1801"/>
      <c r="BH215" s="1801"/>
      <c r="BI215" s="1801"/>
      <c r="BJ215" s="1801"/>
      <c r="BK215" s="1801"/>
      <c r="BL215" s="1801"/>
      <c r="BM215" s="1801"/>
      <c r="BN215" s="1801"/>
      <c r="BO215" s="1801"/>
      <c r="BP215" s="1801"/>
      <c r="BQ215" s="1801"/>
      <c r="BR215" s="1801"/>
      <c r="BS215" s="1801"/>
      <c r="BT215" s="1801"/>
      <c r="BU215" s="1801"/>
      <c r="BV215" s="1801"/>
      <c r="BW215" s="1801"/>
      <c r="BX215" s="1801"/>
      <c r="BY215" s="1801"/>
      <c r="BZ215" s="1801"/>
      <c r="CA215" s="1801"/>
      <c r="CB215" s="1801"/>
      <c r="CC215" s="1801"/>
      <c r="CD215" s="1801"/>
      <c r="CE215" s="1801"/>
      <c r="CF215" s="1801"/>
      <c r="CG215" s="1801"/>
      <c r="CH215" s="1801"/>
      <c r="CI215" s="1801"/>
      <c r="CJ215" s="1801"/>
      <c r="CK215" s="1801"/>
      <c r="CL215" s="1801"/>
      <c r="CM215" s="1801"/>
      <c r="CN215" s="1801"/>
      <c r="CO215" s="1801"/>
      <c r="CP215" s="1801"/>
    </row>
    <row r="216" spans="1:94" ht="21" customHeight="1" thickBot="1" x14ac:dyDescent="0.25">
      <c r="A216" s="1887" t="s">
        <v>66</v>
      </c>
      <c r="B216" s="1891" t="s">
        <v>1947</v>
      </c>
      <c r="C216" s="1779" t="s">
        <v>2322</v>
      </c>
      <c r="D216" s="945"/>
      <c r="E216" s="1859" t="s">
        <v>2451</v>
      </c>
      <c r="F216" s="1225"/>
      <c r="G216" s="1742"/>
      <c r="H216" s="1742"/>
      <c r="I216" s="1742"/>
      <c r="J216" s="1742"/>
      <c r="K216" s="1742"/>
      <c r="L216" s="1742"/>
      <c r="M216" s="1742"/>
      <c r="N216" s="1742"/>
      <c r="O216" s="1742"/>
      <c r="P216" s="1742"/>
      <c r="Q216" s="1742"/>
      <c r="R216" s="1742"/>
      <c r="S216" s="1742"/>
      <c r="T216" s="1742"/>
      <c r="U216" s="1742"/>
      <c r="V216" s="1742"/>
      <c r="W216" s="1742"/>
      <c r="X216" s="1742"/>
      <c r="Y216" s="1742"/>
      <c r="Z216" s="1742"/>
      <c r="AA216" s="1742"/>
      <c r="AB216" s="1742"/>
      <c r="AC216" s="1742"/>
      <c r="AD216" s="1742"/>
      <c r="AE216" s="1742"/>
      <c r="AF216" s="1742"/>
      <c r="AG216" s="1742"/>
      <c r="AH216" s="1742"/>
      <c r="AI216" s="1742"/>
      <c r="AJ216" s="1742"/>
      <c r="AK216" s="1742"/>
      <c r="AL216" s="1742"/>
      <c r="AM216" s="1742"/>
      <c r="AN216" s="1742"/>
      <c r="AO216" s="1742"/>
      <c r="AP216" s="1742"/>
      <c r="AQ216" s="1742"/>
      <c r="AR216" s="1742"/>
      <c r="AS216" s="1742"/>
      <c r="AT216" s="1742"/>
      <c r="AU216" s="1742"/>
      <c r="AV216" s="1742"/>
      <c r="AW216" s="1742"/>
      <c r="AX216" s="1742"/>
      <c r="AY216" s="1742"/>
      <c r="AZ216" s="1742"/>
      <c r="BA216" s="1742"/>
      <c r="BB216" s="1742"/>
      <c r="BC216" s="1742"/>
      <c r="BD216" s="1742"/>
      <c r="BE216" s="1742"/>
      <c r="BF216" s="1742"/>
      <c r="BG216" s="1742"/>
      <c r="BH216" s="1742"/>
      <c r="BI216" s="1742"/>
      <c r="BJ216" s="1742"/>
      <c r="BK216" s="1742"/>
      <c r="BL216" s="1742"/>
      <c r="BM216" s="1742"/>
      <c r="BN216" s="1742"/>
      <c r="BO216" s="1742"/>
      <c r="BP216" s="1742"/>
      <c r="BQ216" s="1742"/>
      <c r="BR216" s="1742"/>
      <c r="BS216" s="1742"/>
      <c r="BT216" s="1742"/>
      <c r="BU216" s="1742"/>
      <c r="BV216" s="1742"/>
      <c r="BW216" s="1742"/>
      <c r="BX216" s="1742"/>
      <c r="BY216" s="1742"/>
      <c r="BZ216" s="1742"/>
      <c r="CA216" s="1742"/>
      <c r="CB216" s="1742"/>
      <c r="CC216" s="1742"/>
      <c r="CD216" s="1742"/>
      <c r="CE216" s="1742"/>
      <c r="CF216" s="1742"/>
      <c r="CG216" s="1742"/>
      <c r="CH216" s="1742"/>
      <c r="CI216" s="1742"/>
      <c r="CJ216" s="1742"/>
      <c r="CK216" s="1742"/>
      <c r="CL216" s="1742"/>
      <c r="CM216" s="1742"/>
      <c r="CN216" s="1742"/>
      <c r="CO216" s="1742"/>
      <c r="CP216" s="1742"/>
    </row>
    <row r="217" spans="1:94" ht="15" customHeight="1" x14ac:dyDescent="0.2">
      <c r="A217" s="1847"/>
      <c r="B217" s="1892"/>
      <c r="C217" s="652" t="s">
        <v>2439</v>
      </c>
      <c r="D217" s="973"/>
      <c r="E217" s="1860"/>
      <c r="F217" s="1225"/>
      <c r="G217" s="1767">
        <v>0</v>
      </c>
      <c r="H217" s="1767">
        <v>0</v>
      </c>
      <c r="I217" s="1767">
        <v>0</v>
      </c>
      <c r="J217" s="1767">
        <v>0</v>
      </c>
      <c r="K217" s="1767">
        <v>0</v>
      </c>
      <c r="L217" s="1767">
        <v>0</v>
      </c>
      <c r="M217" s="1767">
        <v>0</v>
      </c>
      <c r="N217" s="1767">
        <v>0</v>
      </c>
      <c r="O217" s="1767">
        <v>0</v>
      </c>
      <c r="P217" s="1767">
        <v>0</v>
      </c>
      <c r="Q217" s="1767">
        <v>0</v>
      </c>
      <c r="R217" s="1767">
        <v>0</v>
      </c>
      <c r="S217" s="1767">
        <v>0</v>
      </c>
      <c r="T217" s="1767">
        <v>0</v>
      </c>
      <c r="U217" s="1767">
        <v>0</v>
      </c>
      <c r="V217" s="1767">
        <v>0</v>
      </c>
      <c r="W217" s="1767">
        <v>0</v>
      </c>
      <c r="X217" s="1767">
        <v>0</v>
      </c>
      <c r="Y217" s="1767">
        <v>0</v>
      </c>
      <c r="Z217" s="1767">
        <v>0</v>
      </c>
      <c r="AA217" s="1767">
        <v>0</v>
      </c>
      <c r="AB217" s="1767">
        <v>0</v>
      </c>
      <c r="AC217" s="1767">
        <v>0</v>
      </c>
      <c r="AD217" s="1767">
        <v>0</v>
      </c>
      <c r="AE217" s="1767">
        <v>0</v>
      </c>
      <c r="AF217" s="1767">
        <v>0</v>
      </c>
      <c r="AG217" s="1767">
        <v>0</v>
      </c>
      <c r="AH217" s="1767">
        <v>0</v>
      </c>
      <c r="AI217" s="1767">
        <v>0</v>
      </c>
      <c r="AJ217" s="1767">
        <v>0</v>
      </c>
      <c r="AK217" s="1767">
        <v>0</v>
      </c>
      <c r="AL217" s="1767">
        <v>0</v>
      </c>
      <c r="AM217" s="1767">
        <v>0</v>
      </c>
      <c r="AN217" s="1767">
        <v>0</v>
      </c>
      <c r="AO217" s="1767">
        <v>0</v>
      </c>
      <c r="AP217" s="1767">
        <v>0</v>
      </c>
      <c r="AQ217" s="1767">
        <v>0</v>
      </c>
      <c r="AR217" s="1767">
        <v>0</v>
      </c>
      <c r="AS217" s="1767">
        <v>0</v>
      </c>
      <c r="AT217" s="1767">
        <v>0</v>
      </c>
      <c r="AU217" s="1767">
        <v>0</v>
      </c>
      <c r="AV217" s="1767">
        <v>0</v>
      </c>
      <c r="AW217" s="1767">
        <v>0</v>
      </c>
      <c r="AX217" s="1767">
        <v>0</v>
      </c>
      <c r="AY217" s="1767">
        <v>0</v>
      </c>
      <c r="AZ217" s="1767">
        <v>0</v>
      </c>
      <c r="BA217" s="1767">
        <v>0</v>
      </c>
      <c r="BB217" s="1767">
        <v>0</v>
      </c>
      <c r="BC217" s="1767">
        <v>0</v>
      </c>
      <c r="BD217" s="1767">
        <v>0</v>
      </c>
      <c r="BE217" s="1767">
        <v>0</v>
      </c>
      <c r="BF217" s="1767">
        <v>0</v>
      </c>
      <c r="BG217" s="1767">
        <v>0</v>
      </c>
      <c r="BH217" s="1767">
        <v>0</v>
      </c>
      <c r="BI217" s="1767">
        <v>0</v>
      </c>
      <c r="BJ217" s="1767">
        <v>0</v>
      </c>
      <c r="BK217" s="1767">
        <v>0</v>
      </c>
      <c r="BL217" s="1767">
        <v>0</v>
      </c>
      <c r="BM217" s="1767">
        <v>0</v>
      </c>
      <c r="BN217" s="1767">
        <v>0</v>
      </c>
      <c r="BO217" s="1767">
        <v>0</v>
      </c>
      <c r="BP217" s="1767">
        <v>0</v>
      </c>
      <c r="BQ217" s="1767">
        <v>0</v>
      </c>
      <c r="BR217" s="1767">
        <v>0</v>
      </c>
      <c r="BS217" s="1767">
        <v>0</v>
      </c>
      <c r="BT217" s="1767">
        <v>0</v>
      </c>
      <c r="BU217" s="1767">
        <v>0</v>
      </c>
      <c r="BV217" s="1767">
        <v>0</v>
      </c>
      <c r="BW217" s="1767">
        <v>0</v>
      </c>
      <c r="BX217" s="1767">
        <v>0</v>
      </c>
      <c r="BY217" s="1767">
        <v>0</v>
      </c>
      <c r="BZ217" s="1767">
        <v>0</v>
      </c>
      <c r="CA217" s="1767">
        <v>0</v>
      </c>
      <c r="CB217" s="1767">
        <v>0</v>
      </c>
      <c r="CC217" s="1767">
        <v>0</v>
      </c>
      <c r="CD217" s="1767">
        <v>0</v>
      </c>
      <c r="CE217" s="1767">
        <v>0</v>
      </c>
      <c r="CF217" s="1767">
        <v>0</v>
      </c>
      <c r="CG217" s="1767">
        <v>0</v>
      </c>
      <c r="CH217" s="1767">
        <v>0</v>
      </c>
      <c r="CI217" s="1767">
        <v>0</v>
      </c>
      <c r="CJ217" s="1767">
        <v>0</v>
      </c>
      <c r="CK217" s="1767">
        <v>0</v>
      </c>
      <c r="CL217" s="1767">
        <v>0</v>
      </c>
      <c r="CM217" s="1767">
        <v>0</v>
      </c>
      <c r="CN217" s="1767">
        <v>0</v>
      </c>
      <c r="CO217" s="1767">
        <v>0</v>
      </c>
      <c r="CP217" s="1767">
        <v>0</v>
      </c>
    </row>
    <row r="218" spans="1:94" ht="25.5" x14ac:dyDescent="0.2">
      <c r="A218" s="1847"/>
      <c r="B218" s="1892"/>
      <c r="C218" s="942" t="s">
        <v>2045</v>
      </c>
      <c r="D218" s="952"/>
      <c r="E218" s="1860"/>
      <c r="F218" s="1225"/>
      <c r="G218" s="1765">
        <v>0</v>
      </c>
      <c r="H218" s="1765">
        <v>0</v>
      </c>
      <c r="I218" s="1765">
        <v>0</v>
      </c>
      <c r="J218" s="1765">
        <v>0</v>
      </c>
      <c r="K218" s="1765">
        <v>0</v>
      </c>
      <c r="L218" s="1765">
        <v>0</v>
      </c>
      <c r="M218" s="1765">
        <v>0</v>
      </c>
      <c r="N218" s="1765">
        <v>0</v>
      </c>
      <c r="O218" s="1765">
        <v>0</v>
      </c>
      <c r="P218" s="1765">
        <v>0</v>
      </c>
      <c r="Q218" s="1765">
        <v>0</v>
      </c>
      <c r="R218" s="1765">
        <v>0</v>
      </c>
      <c r="S218" s="1765">
        <v>0</v>
      </c>
      <c r="T218" s="1765">
        <v>0</v>
      </c>
      <c r="U218" s="1765">
        <v>0</v>
      </c>
      <c r="V218" s="1765">
        <v>0</v>
      </c>
      <c r="W218" s="1765">
        <v>0</v>
      </c>
      <c r="X218" s="1765">
        <v>0</v>
      </c>
      <c r="Y218" s="1765">
        <v>0</v>
      </c>
      <c r="Z218" s="1765">
        <v>0</v>
      </c>
      <c r="AA218" s="1765">
        <v>0</v>
      </c>
      <c r="AB218" s="1765">
        <v>0</v>
      </c>
      <c r="AC218" s="1765">
        <v>0</v>
      </c>
      <c r="AD218" s="1765">
        <v>0</v>
      </c>
      <c r="AE218" s="1765">
        <v>0</v>
      </c>
      <c r="AF218" s="1765">
        <v>0</v>
      </c>
      <c r="AG218" s="1765">
        <v>0</v>
      </c>
      <c r="AH218" s="1765">
        <v>0</v>
      </c>
      <c r="AI218" s="1765">
        <v>0</v>
      </c>
      <c r="AJ218" s="1765">
        <v>0</v>
      </c>
      <c r="AK218" s="1765">
        <v>0</v>
      </c>
      <c r="AL218" s="1765">
        <v>0</v>
      </c>
      <c r="AM218" s="1765">
        <v>0</v>
      </c>
      <c r="AN218" s="1765">
        <v>0</v>
      </c>
      <c r="AO218" s="1765">
        <v>0</v>
      </c>
      <c r="AP218" s="1765">
        <v>0</v>
      </c>
      <c r="AQ218" s="1765">
        <v>0</v>
      </c>
      <c r="AR218" s="1765">
        <v>0</v>
      </c>
      <c r="AS218" s="1765">
        <v>0</v>
      </c>
      <c r="AT218" s="1765">
        <v>0</v>
      </c>
      <c r="AU218" s="1765">
        <v>0</v>
      </c>
      <c r="AV218" s="1765">
        <v>0</v>
      </c>
      <c r="AW218" s="1765">
        <v>0</v>
      </c>
      <c r="AX218" s="1765">
        <v>0</v>
      </c>
      <c r="AY218" s="1765">
        <v>0</v>
      </c>
      <c r="AZ218" s="1765">
        <v>0</v>
      </c>
      <c r="BA218" s="1765">
        <v>0</v>
      </c>
      <c r="BB218" s="1765">
        <v>0</v>
      </c>
      <c r="BC218" s="1765">
        <v>0</v>
      </c>
      <c r="BD218" s="1765">
        <v>0</v>
      </c>
      <c r="BE218" s="1765">
        <v>0</v>
      </c>
      <c r="BF218" s="1765">
        <v>0</v>
      </c>
      <c r="BG218" s="1765">
        <v>0</v>
      </c>
      <c r="BH218" s="1765">
        <v>0</v>
      </c>
      <c r="BI218" s="1765">
        <v>0</v>
      </c>
      <c r="BJ218" s="1765">
        <v>0</v>
      </c>
      <c r="BK218" s="1765">
        <v>0</v>
      </c>
      <c r="BL218" s="1765">
        <v>0</v>
      </c>
      <c r="BM218" s="1765">
        <v>0</v>
      </c>
      <c r="BN218" s="1765">
        <v>0</v>
      </c>
      <c r="BO218" s="1765">
        <v>0</v>
      </c>
      <c r="BP218" s="1765">
        <v>0</v>
      </c>
      <c r="BQ218" s="1765">
        <v>0</v>
      </c>
      <c r="BR218" s="1765">
        <v>0</v>
      </c>
      <c r="BS218" s="1765">
        <v>0</v>
      </c>
      <c r="BT218" s="1765">
        <v>0</v>
      </c>
      <c r="BU218" s="1765">
        <v>0</v>
      </c>
      <c r="BV218" s="1765">
        <v>0</v>
      </c>
      <c r="BW218" s="1765">
        <v>0</v>
      </c>
      <c r="BX218" s="1765">
        <v>0</v>
      </c>
      <c r="BY218" s="1765">
        <v>0</v>
      </c>
      <c r="BZ218" s="1765">
        <v>0</v>
      </c>
      <c r="CA218" s="1765">
        <v>0</v>
      </c>
      <c r="CB218" s="1765">
        <v>0</v>
      </c>
      <c r="CC218" s="1765">
        <v>0</v>
      </c>
      <c r="CD218" s="1765">
        <v>0</v>
      </c>
      <c r="CE218" s="1765">
        <v>0</v>
      </c>
      <c r="CF218" s="1765">
        <v>0</v>
      </c>
      <c r="CG218" s="1765">
        <v>0</v>
      </c>
      <c r="CH218" s="1765">
        <v>0</v>
      </c>
      <c r="CI218" s="1765">
        <v>0</v>
      </c>
      <c r="CJ218" s="1765">
        <v>0</v>
      </c>
      <c r="CK218" s="1765">
        <v>0</v>
      </c>
      <c r="CL218" s="1765">
        <v>0</v>
      </c>
      <c r="CM218" s="1765">
        <v>0</v>
      </c>
      <c r="CN218" s="1765">
        <v>0</v>
      </c>
      <c r="CO218" s="1765">
        <v>0</v>
      </c>
      <c r="CP218" s="1765">
        <v>0</v>
      </c>
    </row>
    <row r="219" spans="1:94" ht="15" customHeight="1" x14ac:dyDescent="0.2">
      <c r="A219" s="1847"/>
      <c r="B219" s="1892"/>
      <c r="C219" s="943" t="s">
        <v>2046</v>
      </c>
      <c r="D219" s="952"/>
      <c r="E219" s="1860"/>
      <c r="F219" s="1225"/>
      <c r="G219" s="1765">
        <v>0</v>
      </c>
      <c r="H219" s="1765">
        <v>0</v>
      </c>
      <c r="I219" s="1765">
        <v>0</v>
      </c>
      <c r="J219" s="1765">
        <v>0</v>
      </c>
      <c r="K219" s="1765">
        <v>0</v>
      </c>
      <c r="L219" s="1765">
        <v>0</v>
      </c>
      <c r="M219" s="1765">
        <v>0</v>
      </c>
      <c r="N219" s="1765">
        <v>0</v>
      </c>
      <c r="O219" s="1765">
        <v>0</v>
      </c>
      <c r="P219" s="1765">
        <v>0</v>
      </c>
      <c r="Q219" s="1765">
        <v>0</v>
      </c>
      <c r="R219" s="1765">
        <v>0</v>
      </c>
      <c r="S219" s="1765">
        <v>0</v>
      </c>
      <c r="T219" s="1765">
        <v>0</v>
      </c>
      <c r="U219" s="1765">
        <v>0</v>
      </c>
      <c r="V219" s="1765">
        <v>0</v>
      </c>
      <c r="W219" s="1765">
        <v>0</v>
      </c>
      <c r="X219" s="1765">
        <v>0</v>
      </c>
      <c r="Y219" s="1765">
        <v>0</v>
      </c>
      <c r="Z219" s="1765">
        <v>0</v>
      </c>
      <c r="AA219" s="1765">
        <v>0</v>
      </c>
      <c r="AB219" s="1765">
        <v>0</v>
      </c>
      <c r="AC219" s="1765">
        <v>0</v>
      </c>
      <c r="AD219" s="1765">
        <v>0</v>
      </c>
      <c r="AE219" s="1765">
        <v>0</v>
      </c>
      <c r="AF219" s="1765">
        <v>0</v>
      </c>
      <c r="AG219" s="1765">
        <v>0</v>
      </c>
      <c r="AH219" s="1765">
        <v>0</v>
      </c>
      <c r="AI219" s="1765">
        <v>0</v>
      </c>
      <c r="AJ219" s="1765">
        <v>0</v>
      </c>
      <c r="AK219" s="1765">
        <v>0</v>
      </c>
      <c r="AL219" s="1765">
        <v>0</v>
      </c>
      <c r="AM219" s="1765">
        <v>0</v>
      </c>
      <c r="AN219" s="1765">
        <v>0</v>
      </c>
      <c r="AO219" s="1765">
        <v>0</v>
      </c>
      <c r="AP219" s="1765">
        <v>0</v>
      </c>
      <c r="AQ219" s="1765">
        <v>0</v>
      </c>
      <c r="AR219" s="1765">
        <v>0</v>
      </c>
      <c r="AS219" s="1765">
        <v>0</v>
      </c>
      <c r="AT219" s="1765">
        <v>0</v>
      </c>
      <c r="AU219" s="1765">
        <v>0</v>
      </c>
      <c r="AV219" s="1765">
        <v>0</v>
      </c>
      <c r="AW219" s="1765">
        <v>0</v>
      </c>
      <c r="AX219" s="1765">
        <v>0</v>
      </c>
      <c r="AY219" s="1765">
        <v>0</v>
      </c>
      <c r="AZ219" s="1765">
        <v>0</v>
      </c>
      <c r="BA219" s="1765">
        <v>0</v>
      </c>
      <c r="BB219" s="1765">
        <v>0</v>
      </c>
      <c r="BC219" s="1765">
        <v>0</v>
      </c>
      <c r="BD219" s="1765">
        <v>0</v>
      </c>
      <c r="BE219" s="1765">
        <v>0</v>
      </c>
      <c r="BF219" s="1765">
        <v>0</v>
      </c>
      <c r="BG219" s="1765">
        <v>0</v>
      </c>
      <c r="BH219" s="1765">
        <v>0</v>
      </c>
      <c r="BI219" s="1765">
        <v>0</v>
      </c>
      <c r="BJ219" s="1765">
        <v>0</v>
      </c>
      <c r="BK219" s="1765">
        <v>0</v>
      </c>
      <c r="BL219" s="1765">
        <v>0</v>
      </c>
      <c r="BM219" s="1765">
        <v>0</v>
      </c>
      <c r="BN219" s="1765">
        <v>0</v>
      </c>
      <c r="BO219" s="1765">
        <v>0</v>
      </c>
      <c r="BP219" s="1765">
        <v>0</v>
      </c>
      <c r="BQ219" s="1765">
        <v>0</v>
      </c>
      <c r="BR219" s="1765">
        <v>0</v>
      </c>
      <c r="BS219" s="1765">
        <v>0</v>
      </c>
      <c r="BT219" s="1765">
        <v>0</v>
      </c>
      <c r="BU219" s="1765">
        <v>0</v>
      </c>
      <c r="BV219" s="1765">
        <v>0</v>
      </c>
      <c r="BW219" s="1765">
        <v>0</v>
      </c>
      <c r="BX219" s="1765">
        <v>0</v>
      </c>
      <c r="BY219" s="1765">
        <v>0</v>
      </c>
      <c r="BZ219" s="1765">
        <v>0</v>
      </c>
      <c r="CA219" s="1765">
        <v>0</v>
      </c>
      <c r="CB219" s="1765">
        <v>0</v>
      </c>
      <c r="CC219" s="1765">
        <v>0</v>
      </c>
      <c r="CD219" s="1765">
        <v>0</v>
      </c>
      <c r="CE219" s="1765">
        <v>0</v>
      </c>
      <c r="CF219" s="1765">
        <v>0</v>
      </c>
      <c r="CG219" s="1765">
        <v>0</v>
      </c>
      <c r="CH219" s="1765">
        <v>0</v>
      </c>
      <c r="CI219" s="1765">
        <v>0</v>
      </c>
      <c r="CJ219" s="1765">
        <v>0</v>
      </c>
      <c r="CK219" s="1765">
        <v>0</v>
      </c>
      <c r="CL219" s="1765">
        <v>0</v>
      </c>
      <c r="CM219" s="1765">
        <v>0</v>
      </c>
      <c r="CN219" s="1765">
        <v>0</v>
      </c>
      <c r="CO219" s="1765">
        <v>0</v>
      </c>
      <c r="CP219" s="1765">
        <v>0</v>
      </c>
    </row>
    <row r="220" spans="1:94" ht="15" customHeight="1" x14ac:dyDescent="0.2">
      <c r="A220" s="1847"/>
      <c r="B220" s="1892"/>
      <c r="C220" s="941" t="s">
        <v>2016</v>
      </c>
      <c r="D220" s="971"/>
      <c r="E220" s="1860"/>
      <c r="F220" s="1225"/>
      <c r="G220" s="1801"/>
      <c r="H220" s="1801"/>
      <c r="I220" s="1801"/>
      <c r="J220" s="1801"/>
      <c r="K220" s="1801"/>
      <c r="L220" s="1801"/>
      <c r="M220" s="1801"/>
      <c r="N220" s="1801"/>
      <c r="O220" s="1801"/>
      <c r="P220" s="1801"/>
      <c r="Q220" s="1801"/>
      <c r="R220" s="1801"/>
      <c r="S220" s="1801"/>
      <c r="T220" s="1801"/>
      <c r="U220" s="1801"/>
      <c r="V220" s="1801"/>
      <c r="W220" s="1801"/>
      <c r="X220" s="1801"/>
      <c r="Y220" s="1801"/>
      <c r="Z220" s="1801"/>
      <c r="AA220" s="1801"/>
      <c r="AB220" s="1801"/>
      <c r="AC220" s="1801"/>
      <c r="AD220" s="1801"/>
      <c r="AE220" s="1801"/>
      <c r="AF220" s="1801"/>
      <c r="AG220" s="1801"/>
      <c r="AH220" s="1801"/>
      <c r="AI220" s="1801"/>
      <c r="AJ220" s="1801"/>
      <c r="AK220" s="1801"/>
      <c r="AL220" s="1801"/>
      <c r="AM220" s="1801"/>
      <c r="AN220" s="1801"/>
      <c r="AO220" s="1801"/>
      <c r="AP220" s="1801"/>
      <c r="AQ220" s="1801"/>
      <c r="AR220" s="1801"/>
      <c r="AS220" s="1801"/>
      <c r="AT220" s="1801"/>
      <c r="AU220" s="1801"/>
      <c r="AV220" s="1801"/>
      <c r="AW220" s="1801"/>
      <c r="AX220" s="1801"/>
      <c r="AY220" s="1801"/>
      <c r="AZ220" s="1801"/>
      <c r="BA220" s="1801"/>
      <c r="BB220" s="1801"/>
      <c r="BC220" s="1801"/>
      <c r="BD220" s="1801"/>
      <c r="BE220" s="1801"/>
      <c r="BF220" s="1801"/>
      <c r="BG220" s="1801"/>
      <c r="BH220" s="1801"/>
      <c r="BI220" s="1801"/>
      <c r="BJ220" s="1801"/>
      <c r="BK220" s="1801"/>
      <c r="BL220" s="1801"/>
      <c r="BM220" s="1801"/>
      <c r="BN220" s="1801"/>
      <c r="BO220" s="1801"/>
      <c r="BP220" s="1801"/>
      <c r="BQ220" s="1801"/>
      <c r="BR220" s="1801"/>
      <c r="BS220" s="1801"/>
      <c r="BT220" s="1801"/>
      <c r="BU220" s="1801"/>
      <c r="BV220" s="1801"/>
      <c r="BW220" s="1801"/>
      <c r="BX220" s="1801"/>
      <c r="BY220" s="1801"/>
      <c r="BZ220" s="1801"/>
      <c r="CA220" s="1801"/>
      <c r="CB220" s="1801"/>
      <c r="CC220" s="1801"/>
      <c r="CD220" s="1801"/>
      <c r="CE220" s="1801"/>
      <c r="CF220" s="1801"/>
      <c r="CG220" s="1801"/>
      <c r="CH220" s="1801"/>
      <c r="CI220" s="1801"/>
      <c r="CJ220" s="1801"/>
      <c r="CK220" s="1801"/>
      <c r="CL220" s="1801"/>
      <c r="CM220" s="1801"/>
      <c r="CN220" s="1801"/>
      <c r="CO220" s="1801"/>
      <c r="CP220" s="1801"/>
    </row>
    <row r="221" spans="1:94" ht="15" customHeight="1" thickBot="1" x14ac:dyDescent="0.25">
      <c r="A221" s="1848"/>
      <c r="B221" s="1893"/>
      <c r="C221" s="941" t="s">
        <v>2172</v>
      </c>
      <c r="D221" s="972"/>
      <c r="E221" s="1861"/>
      <c r="F221" s="1225"/>
      <c r="G221" s="1801"/>
      <c r="H221" s="1801"/>
      <c r="I221" s="1801"/>
      <c r="J221" s="1801"/>
      <c r="K221" s="1801"/>
      <c r="L221" s="1801"/>
      <c r="M221" s="1801"/>
      <c r="N221" s="1801"/>
      <c r="O221" s="1801"/>
      <c r="P221" s="1801"/>
      <c r="Q221" s="1801"/>
      <c r="R221" s="1801"/>
      <c r="S221" s="1801"/>
      <c r="T221" s="1801"/>
      <c r="U221" s="1801"/>
      <c r="V221" s="1801"/>
      <c r="W221" s="1801"/>
      <c r="X221" s="1801"/>
      <c r="Y221" s="1801"/>
      <c r="Z221" s="1801"/>
      <c r="AA221" s="1801"/>
      <c r="AB221" s="1801"/>
      <c r="AC221" s="1801"/>
      <c r="AD221" s="1801"/>
      <c r="AE221" s="1801"/>
      <c r="AF221" s="1801"/>
      <c r="AG221" s="1801"/>
      <c r="AH221" s="1801"/>
      <c r="AI221" s="1801"/>
      <c r="AJ221" s="1801"/>
      <c r="AK221" s="1801"/>
      <c r="AL221" s="1801"/>
      <c r="AM221" s="1801"/>
      <c r="AN221" s="1801"/>
      <c r="AO221" s="1801"/>
      <c r="AP221" s="1801"/>
      <c r="AQ221" s="1801"/>
      <c r="AR221" s="1801"/>
      <c r="AS221" s="1801"/>
      <c r="AT221" s="1801"/>
      <c r="AU221" s="1801"/>
      <c r="AV221" s="1801"/>
      <c r="AW221" s="1801"/>
      <c r="AX221" s="1801"/>
      <c r="AY221" s="1801"/>
      <c r="AZ221" s="1801"/>
      <c r="BA221" s="1801"/>
      <c r="BB221" s="1801"/>
      <c r="BC221" s="1801"/>
      <c r="BD221" s="1801"/>
      <c r="BE221" s="1801"/>
      <c r="BF221" s="1801"/>
      <c r="BG221" s="1801"/>
      <c r="BH221" s="1801"/>
      <c r="BI221" s="1801"/>
      <c r="BJ221" s="1801"/>
      <c r="BK221" s="1801"/>
      <c r="BL221" s="1801"/>
      <c r="BM221" s="1801"/>
      <c r="BN221" s="1801"/>
      <c r="BO221" s="1801"/>
      <c r="BP221" s="1801"/>
      <c r="BQ221" s="1801"/>
      <c r="BR221" s="1801"/>
      <c r="BS221" s="1801"/>
      <c r="BT221" s="1801"/>
      <c r="BU221" s="1801"/>
      <c r="BV221" s="1801"/>
      <c r="BW221" s="1801"/>
      <c r="BX221" s="1801"/>
      <c r="BY221" s="1801"/>
      <c r="BZ221" s="1801"/>
      <c r="CA221" s="1801"/>
      <c r="CB221" s="1801"/>
      <c r="CC221" s="1801"/>
      <c r="CD221" s="1801"/>
      <c r="CE221" s="1801"/>
      <c r="CF221" s="1801"/>
      <c r="CG221" s="1801"/>
      <c r="CH221" s="1801"/>
      <c r="CI221" s="1801"/>
      <c r="CJ221" s="1801"/>
      <c r="CK221" s="1801"/>
      <c r="CL221" s="1801"/>
      <c r="CM221" s="1801"/>
      <c r="CN221" s="1801"/>
      <c r="CO221" s="1801"/>
      <c r="CP221" s="1801"/>
    </row>
    <row r="222" spans="1:94" ht="21" customHeight="1" thickBot="1" x14ac:dyDescent="0.25">
      <c r="A222" s="1887" t="s">
        <v>25</v>
      </c>
      <c r="B222" s="1846" t="s">
        <v>650</v>
      </c>
      <c r="C222" s="1777" t="s">
        <v>458</v>
      </c>
      <c r="D222" s="947"/>
      <c r="E222" s="1843" t="s">
        <v>1828</v>
      </c>
      <c r="F222" s="1225"/>
      <c r="G222" s="1742"/>
      <c r="H222" s="1742"/>
      <c r="I222" s="1742"/>
      <c r="J222" s="1742"/>
      <c r="K222" s="1742"/>
      <c r="L222" s="1742"/>
      <c r="M222" s="1742"/>
      <c r="N222" s="1742"/>
      <c r="O222" s="1742"/>
      <c r="P222" s="1742"/>
      <c r="Q222" s="1742"/>
      <c r="R222" s="1742"/>
      <c r="S222" s="1742"/>
      <c r="T222" s="1742"/>
      <c r="U222" s="1742"/>
      <c r="V222" s="1742"/>
      <c r="W222" s="1742"/>
      <c r="X222" s="1742"/>
      <c r="Y222" s="1742"/>
      <c r="Z222" s="1742"/>
      <c r="AA222" s="1742"/>
      <c r="AB222" s="1742"/>
      <c r="AC222" s="1742"/>
      <c r="AD222" s="1742"/>
      <c r="AE222" s="1742"/>
      <c r="AF222" s="1742"/>
      <c r="AG222" s="1742"/>
      <c r="AH222" s="1742"/>
      <c r="AI222" s="1742"/>
      <c r="AJ222" s="1742"/>
      <c r="AK222" s="1742"/>
      <c r="AL222" s="1742"/>
      <c r="AM222" s="1742"/>
      <c r="AN222" s="1742"/>
      <c r="AO222" s="1742"/>
      <c r="AP222" s="1742"/>
      <c r="AQ222" s="1742"/>
      <c r="AR222" s="1742"/>
      <c r="AS222" s="1742"/>
      <c r="AT222" s="1742"/>
      <c r="AU222" s="1742"/>
      <c r="AV222" s="1742"/>
      <c r="AW222" s="1742"/>
      <c r="AX222" s="1742"/>
      <c r="AY222" s="1742"/>
      <c r="AZ222" s="1742"/>
      <c r="BA222" s="1742"/>
      <c r="BB222" s="1742"/>
      <c r="BC222" s="1742"/>
      <c r="BD222" s="1742"/>
      <c r="BE222" s="1742"/>
      <c r="BF222" s="1742"/>
      <c r="BG222" s="1742"/>
      <c r="BH222" s="1742"/>
      <c r="BI222" s="1742"/>
      <c r="BJ222" s="1742"/>
      <c r="BK222" s="1742"/>
      <c r="BL222" s="1742"/>
      <c r="BM222" s="1742"/>
      <c r="BN222" s="1742"/>
      <c r="BO222" s="1742"/>
      <c r="BP222" s="1742"/>
      <c r="BQ222" s="1742"/>
      <c r="BR222" s="1742"/>
      <c r="BS222" s="1742"/>
      <c r="BT222" s="1742"/>
      <c r="BU222" s="1742"/>
      <c r="BV222" s="1742"/>
      <c r="BW222" s="1742"/>
      <c r="BX222" s="1742"/>
      <c r="BY222" s="1742"/>
      <c r="BZ222" s="1742"/>
      <c r="CA222" s="1742"/>
      <c r="CB222" s="1742"/>
      <c r="CC222" s="1742"/>
      <c r="CD222" s="1742"/>
      <c r="CE222" s="1742"/>
      <c r="CF222" s="1742"/>
      <c r="CG222" s="1742"/>
      <c r="CH222" s="1742"/>
      <c r="CI222" s="1742"/>
      <c r="CJ222" s="1742"/>
      <c r="CK222" s="1742"/>
      <c r="CL222" s="1742"/>
      <c r="CM222" s="1742"/>
      <c r="CN222" s="1742"/>
      <c r="CO222" s="1742"/>
      <c r="CP222" s="1742"/>
    </row>
    <row r="223" spans="1:94" ht="27" customHeight="1" x14ac:dyDescent="0.2">
      <c r="A223" s="1847"/>
      <c r="B223" s="1856"/>
      <c r="C223" s="660" t="s">
        <v>459</v>
      </c>
      <c r="D223" s="936"/>
      <c r="E223" s="1844"/>
      <c r="F223" s="1225"/>
      <c r="G223" s="1767">
        <v>0</v>
      </c>
      <c r="H223" s="1767">
        <v>0</v>
      </c>
      <c r="I223" s="1767">
        <v>0</v>
      </c>
      <c r="J223" s="1767">
        <v>0</v>
      </c>
      <c r="K223" s="1767">
        <v>0</v>
      </c>
      <c r="L223" s="1767">
        <v>0</v>
      </c>
      <c r="M223" s="1767">
        <v>0</v>
      </c>
      <c r="N223" s="1767">
        <v>0</v>
      </c>
      <c r="O223" s="1767">
        <v>0</v>
      </c>
      <c r="P223" s="1767">
        <v>0</v>
      </c>
      <c r="Q223" s="1767">
        <v>0</v>
      </c>
      <c r="R223" s="1767">
        <v>0</v>
      </c>
      <c r="S223" s="1767">
        <v>0</v>
      </c>
      <c r="T223" s="1767">
        <v>0</v>
      </c>
      <c r="U223" s="1767">
        <v>0</v>
      </c>
      <c r="V223" s="1767">
        <v>0</v>
      </c>
      <c r="W223" s="1767">
        <v>0</v>
      </c>
      <c r="X223" s="1767">
        <v>0</v>
      </c>
      <c r="Y223" s="1767">
        <v>0</v>
      </c>
      <c r="Z223" s="1767">
        <v>0</v>
      </c>
      <c r="AA223" s="1767">
        <v>0</v>
      </c>
      <c r="AB223" s="1767">
        <v>0</v>
      </c>
      <c r="AC223" s="1767">
        <v>0</v>
      </c>
      <c r="AD223" s="1767">
        <v>0</v>
      </c>
      <c r="AE223" s="1767">
        <v>0</v>
      </c>
      <c r="AF223" s="1767">
        <v>0</v>
      </c>
      <c r="AG223" s="1767">
        <v>0</v>
      </c>
      <c r="AH223" s="1767">
        <v>0</v>
      </c>
      <c r="AI223" s="1767">
        <v>0</v>
      </c>
      <c r="AJ223" s="1767">
        <v>0</v>
      </c>
      <c r="AK223" s="1767">
        <v>0</v>
      </c>
      <c r="AL223" s="1767">
        <v>0</v>
      </c>
      <c r="AM223" s="1767">
        <v>0</v>
      </c>
      <c r="AN223" s="1767">
        <v>0</v>
      </c>
      <c r="AO223" s="1767">
        <v>0</v>
      </c>
      <c r="AP223" s="1767">
        <v>0</v>
      </c>
      <c r="AQ223" s="1767">
        <v>0</v>
      </c>
      <c r="AR223" s="1767">
        <v>0</v>
      </c>
      <c r="AS223" s="1767">
        <v>0</v>
      </c>
      <c r="AT223" s="1767">
        <v>0</v>
      </c>
      <c r="AU223" s="1767">
        <v>0</v>
      </c>
      <c r="AV223" s="1767">
        <v>0</v>
      </c>
      <c r="AW223" s="1767">
        <v>0</v>
      </c>
      <c r="AX223" s="1767">
        <v>0</v>
      </c>
      <c r="AY223" s="1767">
        <v>0</v>
      </c>
      <c r="AZ223" s="1767">
        <v>0</v>
      </c>
      <c r="BA223" s="1767">
        <v>0</v>
      </c>
      <c r="BB223" s="1767">
        <v>0</v>
      </c>
      <c r="BC223" s="1767">
        <v>0</v>
      </c>
      <c r="BD223" s="1767">
        <v>0</v>
      </c>
      <c r="BE223" s="1767">
        <v>0</v>
      </c>
      <c r="BF223" s="1767">
        <v>0</v>
      </c>
      <c r="BG223" s="1767">
        <v>0</v>
      </c>
      <c r="BH223" s="1767">
        <v>0</v>
      </c>
      <c r="BI223" s="1767">
        <v>0</v>
      </c>
      <c r="BJ223" s="1767">
        <v>0</v>
      </c>
      <c r="BK223" s="1767">
        <v>0</v>
      </c>
      <c r="BL223" s="1767">
        <v>0</v>
      </c>
      <c r="BM223" s="1767">
        <v>0</v>
      </c>
      <c r="BN223" s="1767">
        <v>0</v>
      </c>
      <c r="BO223" s="1767">
        <v>0</v>
      </c>
      <c r="BP223" s="1767">
        <v>0</v>
      </c>
      <c r="BQ223" s="1767">
        <v>0</v>
      </c>
      <c r="BR223" s="1767">
        <v>0</v>
      </c>
      <c r="BS223" s="1767">
        <v>0</v>
      </c>
      <c r="BT223" s="1767">
        <v>0</v>
      </c>
      <c r="BU223" s="1767">
        <v>0</v>
      </c>
      <c r="BV223" s="1767">
        <v>0</v>
      </c>
      <c r="BW223" s="1767">
        <v>0</v>
      </c>
      <c r="BX223" s="1767">
        <v>0</v>
      </c>
      <c r="BY223" s="1767">
        <v>0</v>
      </c>
      <c r="BZ223" s="1767">
        <v>0</v>
      </c>
      <c r="CA223" s="1767">
        <v>0</v>
      </c>
      <c r="CB223" s="1767">
        <v>0</v>
      </c>
      <c r="CC223" s="1767">
        <v>0</v>
      </c>
      <c r="CD223" s="1767">
        <v>0</v>
      </c>
      <c r="CE223" s="1767">
        <v>0</v>
      </c>
      <c r="CF223" s="1767">
        <v>0</v>
      </c>
      <c r="CG223" s="1767">
        <v>0</v>
      </c>
      <c r="CH223" s="1767">
        <v>0</v>
      </c>
      <c r="CI223" s="1767">
        <v>0</v>
      </c>
      <c r="CJ223" s="1767">
        <v>0</v>
      </c>
      <c r="CK223" s="1767">
        <v>0</v>
      </c>
      <c r="CL223" s="1767">
        <v>0</v>
      </c>
      <c r="CM223" s="1767">
        <v>0</v>
      </c>
      <c r="CN223" s="1767">
        <v>0</v>
      </c>
      <c r="CO223" s="1767">
        <v>0</v>
      </c>
      <c r="CP223" s="1767">
        <v>0</v>
      </c>
    </row>
    <row r="224" spans="1:94" ht="42" customHeight="1" x14ac:dyDescent="0.2">
      <c r="A224" s="1847"/>
      <c r="B224" s="1856"/>
      <c r="C224" s="653" t="s">
        <v>457</v>
      </c>
      <c r="D224" s="936"/>
      <c r="E224" s="1844"/>
      <c r="F224" s="1225"/>
      <c r="G224" s="1767">
        <v>0</v>
      </c>
      <c r="H224" s="1767">
        <v>0</v>
      </c>
      <c r="I224" s="1767">
        <v>0</v>
      </c>
      <c r="J224" s="1767">
        <v>0</v>
      </c>
      <c r="K224" s="1767">
        <v>0</v>
      </c>
      <c r="L224" s="1767">
        <v>0</v>
      </c>
      <c r="M224" s="1767">
        <v>0</v>
      </c>
      <c r="N224" s="1767">
        <v>0</v>
      </c>
      <c r="O224" s="1767">
        <v>0</v>
      </c>
      <c r="P224" s="1767">
        <v>0</v>
      </c>
      <c r="Q224" s="1767">
        <v>0</v>
      </c>
      <c r="R224" s="1767">
        <v>0</v>
      </c>
      <c r="S224" s="1767">
        <v>0</v>
      </c>
      <c r="T224" s="1767">
        <v>0</v>
      </c>
      <c r="U224" s="1767">
        <v>0</v>
      </c>
      <c r="V224" s="1767">
        <v>0</v>
      </c>
      <c r="W224" s="1767">
        <v>0</v>
      </c>
      <c r="X224" s="1767">
        <v>0</v>
      </c>
      <c r="Y224" s="1767">
        <v>0</v>
      </c>
      <c r="Z224" s="1767">
        <v>0</v>
      </c>
      <c r="AA224" s="1767">
        <v>0</v>
      </c>
      <c r="AB224" s="1767">
        <v>0</v>
      </c>
      <c r="AC224" s="1767">
        <v>0</v>
      </c>
      <c r="AD224" s="1767">
        <v>0</v>
      </c>
      <c r="AE224" s="1767">
        <v>0</v>
      </c>
      <c r="AF224" s="1767">
        <v>0</v>
      </c>
      <c r="AG224" s="1767">
        <v>0</v>
      </c>
      <c r="AH224" s="1767">
        <v>0</v>
      </c>
      <c r="AI224" s="1767">
        <v>0</v>
      </c>
      <c r="AJ224" s="1767">
        <v>0</v>
      </c>
      <c r="AK224" s="1767">
        <v>0</v>
      </c>
      <c r="AL224" s="1767">
        <v>0</v>
      </c>
      <c r="AM224" s="1767">
        <v>0</v>
      </c>
      <c r="AN224" s="1767">
        <v>0</v>
      </c>
      <c r="AO224" s="1767">
        <v>0</v>
      </c>
      <c r="AP224" s="1767">
        <v>0</v>
      </c>
      <c r="AQ224" s="1767">
        <v>0</v>
      </c>
      <c r="AR224" s="1767">
        <v>0</v>
      </c>
      <c r="AS224" s="1767">
        <v>0</v>
      </c>
      <c r="AT224" s="1767">
        <v>0</v>
      </c>
      <c r="AU224" s="1767">
        <v>0</v>
      </c>
      <c r="AV224" s="1767">
        <v>0</v>
      </c>
      <c r="AW224" s="1767">
        <v>0</v>
      </c>
      <c r="AX224" s="1767">
        <v>0</v>
      </c>
      <c r="AY224" s="1767">
        <v>0</v>
      </c>
      <c r="AZ224" s="1767">
        <v>0</v>
      </c>
      <c r="BA224" s="1767">
        <v>0</v>
      </c>
      <c r="BB224" s="1767">
        <v>0</v>
      </c>
      <c r="BC224" s="1767">
        <v>0</v>
      </c>
      <c r="BD224" s="1767">
        <v>0</v>
      </c>
      <c r="BE224" s="1767">
        <v>0</v>
      </c>
      <c r="BF224" s="1767">
        <v>0</v>
      </c>
      <c r="BG224" s="1767">
        <v>0</v>
      </c>
      <c r="BH224" s="1767">
        <v>0</v>
      </c>
      <c r="BI224" s="1767">
        <v>0</v>
      </c>
      <c r="BJ224" s="1767">
        <v>0</v>
      </c>
      <c r="BK224" s="1767">
        <v>0</v>
      </c>
      <c r="BL224" s="1767">
        <v>0</v>
      </c>
      <c r="BM224" s="1767">
        <v>0</v>
      </c>
      <c r="BN224" s="1767">
        <v>0</v>
      </c>
      <c r="BO224" s="1767">
        <v>0</v>
      </c>
      <c r="BP224" s="1767">
        <v>0</v>
      </c>
      <c r="BQ224" s="1767">
        <v>0</v>
      </c>
      <c r="BR224" s="1767">
        <v>0</v>
      </c>
      <c r="BS224" s="1767">
        <v>0</v>
      </c>
      <c r="BT224" s="1767">
        <v>0</v>
      </c>
      <c r="BU224" s="1767">
        <v>0</v>
      </c>
      <c r="BV224" s="1767">
        <v>0</v>
      </c>
      <c r="BW224" s="1767">
        <v>0</v>
      </c>
      <c r="BX224" s="1767">
        <v>0</v>
      </c>
      <c r="BY224" s="1767">
        <v>0</v>
      </c>
      <c r="BZ224" s="1767">
        <v>0</v>
      </c>
      <c r="CA224" s="1767">
        <v>0</v>
      </c>
      <c r="CB224" s="1767">
        <v>0</v>
      </c>
      <c r="CC224" s="1767">
        <v>0</v>
      </c>
      <c r="CD224" s="1767">
        <v>0</v>
      </c>
      <c r="CE224" s="1767">
        <v>0</v>
      </c>
      <c r="CF224" s="1767">
        <v>0</v>
      </c>
      <c r="CG224" s="1767">
        <v>0</v>
      </c>
      <c r="CH224" s="1767">
        <v>0</v>
      </c>
      <c r="CI224" s="1767">
        <v>0</v>
      </c>
      <c r="CJ224" s="1767">
        <v>0</v>
      </c>
      <c r="CK224" s="1767">
        <v>0</v>
      </c>
      <c r="CL224" s="1767">
        <v>0</v>
      </c>
      <c r="CM224" s="1767">
        <v>0</v>
      </c>
      <c r="CN224" s="1767">
        <v>0</v>
      </c>
      <c r="CO224" s="1767">
        <v>0</v>
      </c>
      <c r="CP224" s="1767">
        <v>0</v>
      </c>
    </row>
    <row r="225" spans="1:94" ht="28.5" customHeight="1" thickBot="1" x14ac:dyDescent="0.25">
      <c r="A225" s="1847"/>
      <c r="B225" s="1856"/>
      <c r="C225" s="850" t="s">
        <v>614</v>
      </c>
      <c r="D225" s="936"/>
      <c r="E225" s="1844"/>
      <c r="F225" s="1225"/>
      <c r="G225" s="1767">
        <v>0</v>
      </c>
      <c r="H225" s="1767">
        <v>0</v>
      </c>
      <c r="I225" s="1767">
        <v>0</v>
      </c>
      <c r="J225" s="1767">
        <v>0</v>
      </c>
      <c r="K225" s="1767">
        <v>0</v>
      </c>
      <c r="L225" s="1767">
        <v>0</v>
      </c>
      <c r="M225" s="1767">
        <v>0</v>
      </c>
      <c r="N225" s="1767">
        <v>0</v>
      </c>
      <c r="O225" s="1767">
        <v>0</v>
      </c>
      <c r="P225" s="1767">
        <v>0</v>
      </c>
      <c r="Q225" s="1767">
        <v>0</v>
      </c>
      <c r="R225" s="1767">
        <v>0</v>
      </c>
      <c r="S225" s="1767">
        <v>0</v>
      </c>
      <c r="T225" s="1767">
        <v>0</v>
      </c>
      <c r="U225" s="1767">
        <v>0</v>
      </c>
      <c r="V225" s="1767">
        <v>0</v>
      </c>
      <c r="W225" s="1767">
        <v>0</v>
      </c>
      <c r="X225" s="1767">
        <v>0</v>
      </c>
      <c r="Y225" s="1767">
        <v>0</v>
      </c>
      <c r="Z225" s="1767">
        <v>0</v>
      </c>
      <c r="AA225" s="1767">
        <v>0</v>
      </c>
      <c r="AB225" s="1767">
        <v>0</v>
      </c>
      <c r="AC225" s="1767">
        <v>0</v>
      </c>
      <c r="AD225" s="1767">
        <v>0</v>
      </c>
      <c r="AE225" s="1767">
        <v>0</v>
      </c>
      <c r="AF225" s="1767">
        <v>0</v>
      </c>
      <c r="AG225" s="1767">
        <v>0</v>
      </c>
      <c r="AH225" s="1767">
        <v>0</v>
      </c>
      <c r="AI225" s="1767">
        <v>0</v>
      </c>
      <c r="AJ225" s="1767">
        <v>0</v>
      </c>
      <c r="AK225" s="1767">
        <v>0</v>
      </c>
      <c r="AL225" s="1767">
        <v>0</v>
      </c>
      <c r="AM225" s="1767">
        <v>0</v>
      </c>
      <c r="AN225" s="1767">
        <v>0</v>
      </c>
      <c r="AO225" s="1767">
        <v>0</v>
      </c>
      <c r="AP225" s="1767">
        <v>0</v>
      </c>
      <c r="AQ225" s="1767">
        <v>0</v>
      </c>
      <c r="AR225" s="1767">
        <v>0</v>
      </c>
      <c r="AS225" s="1767">
        <v>0</v>
      </c>
      <c r="AT225" s="1767">
        <v>0</v>
      </c>
      <c r="AU225" s="1767">
        <v>0</v>
      </c>
      <c r="AV225" s="1767">
        <v>0</v>
      </c>
      <c r="AW225" s="1767">
        <v>0</v>
      </c>
      <c r="AX225" s="1767">
        <v>0</v>
      </c>
      <c r="AY225" s="1767">
        <v>0</v>
      </c>
      <c r="AZ225" s="1767">
        <v>0</v>
      </c>
      <c r="BA225" s="1767">
        <v>0</v>
      </c>
      <c r="BB225" s="1767">
        <v>0</v>
      </c>
      <c r="BC225" s="1767">
        <v>0</v>
      </c>
      <c r="BD225" s="1767">
        <v>0</v>
      </c>
      <c r="BE225" s="1767">
        <v>0</v>
      </c>
      <c r="BF225" s="1767">
        <v>0</v>
      </c>
      <c r="BG225" s="1767">
        <v>0</v>
      </c>
      <c r="BH225" s="1767">
        <v>0</v>
      </c>
      <c r="BI225" s="1767">
        <v>0</v>
      </c>
      <c r="BJ225" s="1767">
        <v>0</v>
      </c>
      <c r="BK225" s="1767">
        <v>0</v>
      </c>
      <c r="BL225" s="1767">
        <v>0</v>
      </c>
      <c r="BM225" s="1767">
        <v>0</v>
      </c>
      <c r="BN225" s="1767">
        <v>0</v>
      </c>
      <c r="BO225" s="1767">
        <v>0</v>
      </c>
      <c r="BP225" s="1767">
        <v>0</v>
      </c>
      <c r="BQ225" s="1767">
        <v>0</v>
      </c>
      <c r="BR225" s="1767">
        <v>0</v>
      </c>
      <c r="BS225" s="1767">
        <v>0</v>
      </c>
      <c r="BT225" s="1767">
        <v>0</v>
      </c>
      <c r="BU225" s="1767">
        <v>0</v>
      </c>
      <c r="BV225" s="1767">
        <v>0</v>
      </c>
      <c r="BW225" s="1767">
        <v>0</v>
      </c>
      <c r="BX225" s="1767">
        <v>0</v>
      </c>
      <c r="BY225" s="1767">
        <v>0</v>
      </c>
      <c r="BZ225" s="1767">
        <v>0</v>
      </c>
      <c r="CA225" s="1767">
        <v>0</v>
      </c>
      <c r="CB225" s="1767">
        <v>0</v>
      </c>
      <c r="CC225" s="1767">
        <v>0</v>
      </c>
      <c r="CD225" s="1767">
        <v>0</v>
      </c>
      <c r="CE225" s="1767">
        <v>0</v>
      </c>
      <c r="CF225" s="1767">
        <v>0</v>
      </c>
      <c r="CG225" s="1767">
        <v>0</v>
      </c>
      <c r="CH225" s="1767">
        <v>0</v>
      </c>
      <c r="CI225" s="1767">
        <v>0</v>
      </c>
      <c r="CJ225" s="1767">
        <v>0</v>
      </c>
      <c r="CK225" s="1767">
        <v>0</v>
      </c>
      <c r="CL225" s="1767">
        <v>0</v>
      </c>
      <c r="CM225" s="1767">
        <v>0</v>
      </c>
      <c r="CN225" s="1767">
        <v>0</v>
      </c>
      <c r="CO225" s="1767">
        <v>0</v>
      </c>
      <c r="CP225" s="1767">
        <v>0</v>
      </c>
    </row>
    <row r="226" spans="1:94" ht="48" customHeight="1" thickBot="1" x14ac:dyDescent="0.25">
      <c r="A226" s="853" t="s">
        <v>38</v>
      </c>
      <c r="B226" s="718" t="s">
        <v>2049</v>
      </c>
      <c r="C226" s="1777" t="s">
        <v>2532</v>
      </c>
      <c r="D226" s="951"/>
      <c r="E226" s="829" t="s">
        <v>1830</v>
      </c>
      <c r="F226" s="1225"/>
      <c r="G226" s="1765">
        <v>0</v>
      </c>
      <c r="H226" s="1765">
        <v>0</v>
      </c>
      <c r="I226" s="1765">
        <v>0</v>
      </c>
      <c r="J226" s="1765">
        <v>0</v>
      </c>
      <c r="K226" s="1765">
        <v>0</v>
      </c>
      <c r="L226" s="1765">
        <v>0</v>
      </c>
      <c r="M226" s="1765">
        <v>0</v>
      </c>
      <c r="N226" s="1765">
        <v>0</v>
      </c>
      <c r="O226" s="1765">
        <v>0</v>
      </c>
      <c r="P226" s="1765">
        <v>0</v>
      </c>
      <c r="Q226" s="1765">
        <v>0</v>
      </c>
      <c r="R226" s="1765">
        <v>0</v>
      </c>
      <c r="S226" s="1765">
        <v>0</v>
      </c>
      <c r="T226" s="1765">
        <v>0</v>
      </c>
      <c r="U226" s="1765">
        <v>0</v>
      </c>
      <c r="V226" s="1765">
        <v>0</v>
      </c>
      <c r="W226" s="1765">
        <v>0</v>
      </c>
      <c r="X226" s="1765">
        <v>0</v>
      </c>
      <c r="Y226" s="1765">
        <v>0</v>
      </c>
      <c r="Z226" s="1765">
        <v>0</v>
      </c>
      <c r="AA226" s="1765">
        <v>0</v>
      </c>
      <c r="AB226" s="1765">
        <v>0</v>
      </c>
      <c r="AC226" s="1765">
        <v>0</v>
      </c>
      <c r="AD226" s="1765">
        <v>0</v>
      </c>
      <c r="AE226" s="1765">
        <v>0</v>
      </c>
      <c r="AF226" s="1765">
        <v>0</v>
      </c>
      <c r="AG226" s="1765">
        <v>0</v>
      </c>
      <c r="AH226" s="1765">
        <v>0</v>
      </c>
      <c r="AI226" s="1765">
        <v>0</v>
      </c>
      <c r="AJ226" s="1765">
        <v>0</v>
      </c>
      <c r="AK226" s="1765">
        <v>0</v>
      </c>
      <c r="AL226" s="1765">
        <v>0</v>
      </c>
      <c r="AM226" s="1765">
        <v>0</v>
      </c>
      <c r="AN226" s="1765">
        <v>0</v>
      </c>
      <c r="AO226" s="1765">
        <v>0</v>
      </c>
      <c r="AP226" s="1765">
        <v>0</v>
      </c>
      <c r="AQ226" s="1765">
        <v>0</v>
      </c>
      <c r="AR226" s="1765">
        <v>0</v>
      </c>
      <c r="AS226" s="1765">
        <v>0</v>
      </c>
      <c r="AT226" s="1765">
        <v>0</v>
      </c>
      <c r="AU226" s="1765">
        <v>0</v>
      </c>
      <c r="AV226" s="1765">
        <v>0</v>
      </c>
      <c r="AW226" s="1765">
        <v>0</v>
      </c>
      <c r="AX226" s="1765">
        <v>0</v>
      </c>
      <c r="AY226" s="1765">
        <v>0</v>
      </c>
      <c r="AZ226" s="1765">
        <v>0</v>
      </c>
      <c r="BA226" s="1765">
        <v>0</v>
      </c>
      <c r="BB226" s="1765">
        <v>0</v>
      </c>
      <c r="BC226" s="1765">
        <v>0</v>
      </c>
      <c r="BD226" s="1765">
        <v>0</v>
      </c>
      <c r="BE226" s="1765">
        <v>0</v>
      </c>
      <c r="BF226" s="1765">
        <v>0</v>
      </c>
      <c r="BG226" s="1765">
        <v>0</v>
      </c>
      <c r="BH226" s="1765">
        <v>0</v>
      </c>
      <c r="BI226" s="1765">
        <v>0</v>
      </c>
      <c r="BJ226" s="1765">
        <v>0</v>
      </c>
      <c r="BK226" s="1765">
        <v>0</v>
      </c>
      <c r="BL226" s="1765">
        <v>0</v>
      </c>
      <c r="BM226" s="1765">
        <v>0</v>
      </c>
      <c r="BN226" s="1765">
        <v>0</v>
      </c>
      <c r="BO226" s="1765">
        <v>0</v>
      </c>
      <c r="BP226" s="1765">
        <v>0</v>
      </c>
      <c r="BQ226" s="1765">
        <v>0</v>
      </c>
      <c r="BR226" s="1765">
        <v>0</v>
      </c>
      <c r="BS226" s="1765">
        <v>0</v>
      </c>
      <c r="BT226" s="1765">
        <v>0</v>
      </c>
      <c r="BU226" s="1765">
        <v>0</v>
      </c>
      <c r="BV226" s="1765">
        <v>0</v>
      </c>
      <c r="BW226" s="1765">
        <v>0</v>
      </c>
      <c r="BX226" s="1765">
        <v>0</v>
      </c>
      <c r="BY226" s="1765">
        <v>0</v>
      </c>
      <c r="BZ226" s="1765">
        <v>0</v>
      </c>
      <c r="CA226" s="1765">
        <v>0</v>
      </c>
      <c r="CB226" s="1765">
        <v>0</v>
      </c>
      <c r="CC226" s="1765">
        <v>0</v>
      </c>
      <c r="CD226" s="1765">
        <v>0</v>
      </c>
      <c r="CE226" s="1765">
        <v>0</v>
      </c>
      <c r="CF226" s="1765">
        <v>0</v>
      </c>
      <c r="CG226" s="1765">
        <v>0</v>
      </c>
      <c r="CH226" s="1765">
        <v>0</v>
      </c>
      <c r="CI226" s="1765">
        <v>0</v>
      </c>
      <c r="CJ226" s="1765">
        <v>0</v>
      </c>
      <c r="CK226" s="1765">
        <v>0</v>
      </c>
      <c r="CL226" s="1765">
        <v>0</v>
      </c>
      <c r="CM226" s="1765">
        <v>0</v>
      </c>
      <c r="CN226" s="1765">
        <v>0</v>
      </c>
      <c r="CO226" s="1765">
        <v>0</v>
      </c>
      <c r="CP226" s="1765">
        <v>0</v>
      </c>
    </row>
    <row r="227" spans="1:94" ht="30" customHeight="1" thickBot="1" x14ac:dyDescent="0.25">
      <c r="A227" s="1849" t="s">
        <v>237</v>
      </c>
      <c r="B227" s="1846" t="s">
        <v>1120</v>
      </c>
      <c r="C227" s="1777" t="s">
        <v>2533</v>
      </c>
      <c r="D227" s="947"/>
      <c r="E227" s="1843" t="s">
        <v>1829</v>
      </c>
      <c r="F227" s="1225"/>
      <c r="G227" s="1742"/>
      <c r="H227" s="1742"/>
      <c r="I227" s="1742"/>
      <c r="J227" s="1742"/>
      <c r="K227" s="1742"/>
      <c r="L227" s="1742"/>
      <c r="M227" s="1742"/>
      <c r="N227" s="1742"/>
      <c r="O227" s="1742"/>
      <c r="P227" s="1742"/>
      <c r="Q227" s="1742"/>
      <c r="R227" s="1742"/>
      <c r="S227" s="1742"/>
      <c r="T227" s="1742"/>
      <c r="U227" s="1742"/>
      <c r="V227" s="1742"/>
      <c r="W227" s="1742"/>
      <c r="X227" s="1742"/>
      <c r="Y227" s="1742"/>
      <c r="Z227" s="1742"/>
      <c r="AA227" s="1742"/>
      <c r="AB227" s="1742"/>
      <c r="AC227" s="1742"/>
      <c r="AD227" s="1742"/>
      <c r="AE227" s="1742"/>
      <c r="AF227" s="1742"/>
      <c r="AG227" s="1742"/>
      <c r="AH227" s="1742"/>
      <c r="AI227" s="1742"/>
      <c r="AJ227" s="1742"/>
      <c r="AK227" s="1742"/>
      <c r="AL227" s="1742"/>
      <c r="AM227" s="1742"/>
      <c r="AN227" s="1742"/>
      <c r="AO227" s="1742"/>
      <c r="AP227" s="1742"/>
      <c r="AQ227" s="1742"/>
      <c r="AR227" s="1742"/>
      <c r="AS227" s="1742"/>
      <c r="AT227" s="1742"/>
      <c r="AU227" s="1742"/>
      <c r="AV227" s="1742"/>
      <c r="AW227" s="1742"/>
      <c r="AX227" s="1742"/>
      <c r="AY227" s="1742"/>
      <c r="AZ227" s="1742"/>
      <c r="BA227" s="1742"/>
      <c r="BB227" s="1742"/>
      <c r="BC227" s="1742"/>
      <c r="BD227" s="1742"/>
      <c r="BE227" s="1742"/>
      <c r="BF227" s="1742"/>
      <c r="BG227" s="1742"/>
      <c r="BH227" s="1742"/>
      <c r="BI227" s="1742"/>
      <c r="BJ227" s="1742"/>
      <c r="BK227" s="1742"/>
      <c r="BL227" s="1742"/>
      <c r="BM227" s="1742"/>
      <c r="BN227" s="1742"/>
      <c r="BO227" s="1742"/>
      <c r="BP227" s="1742"/>
      <c r="BQ227" s="1742"/>
      <c r="BR227" s="1742"/>
      <c r="BS227" s="1742"/>
      <c r="BT227" s="1742"/>
      <c r="BU227" s="1742"/>
      <c r="BV227" s="1742"/>
      <c r="BW227" s="1742"/>
      <c r="BX227" s="1742"/>
      <c r="BY227" s="1742"/>
      <c r="BZ227" s="1742"/>
      <c r="CA227" s="1742"/>
      <c r="CB227" s="1742"/>
      <c r="CC227" s="1742"/>
      <c r="CD227" s="1742"/>
      <c r="CE227" s="1742"/>
      <c r="CF227" s="1742"/>
      <c r="CG227" s="1742"/>
      <c r="CH227" s="1742"/>
      <c r="CI227" s="1742"/>
      <c r="CJ227" s="1742"/>
      <c r="CK227" s="1742"/>
      <c r="CL227" s="1742"/>
      <c r="CM227" s="1742"/>
      <c r="CN227" s="1742"/>
      <c r="CO227" s="1742"/>
      <c r="CP227" s="1742"/>
    </row>
    <row r="228" spans="1:94" ht="40.5" customHeight="1" x14ac:dyDescent="0.2">
      <c r="A228" s="1847"/>
      <c r="B228" s="1856"/>
      <c r="C228" s="652" t="s">
        <v>1705</v>
      </c>
      <c r="D228" s="936"/>
      <c r="E228" s="1879"/>
      <c r="F228" s="1225"/>
      <c r="G228" s="1765">
        <v>0</v>
      </c>
      <c r="H228" s="1765">
        <v>0</v>
      </c>
      <c r="I228" s="1765">
        <v>0</v>
      </c>
      <c r="J228" s="1765">
        <v>0</v>
      </c>
      <c r="K228" s="1765">
        <v>0</v>
      </c>
      <c r="L228" s="1765">
        <v>0</v>
      </c>
      <c r="M228" s="1765">
        <v>0</v>
      </c>
      <c r="N228" s="1765">
        <v>0</v>
      </c>
      <c r="O228" s="1765">
        <v>0</v>
      </c>
      <c r="P228" s="1765">
        <v>0</v>
      </c>
      <c r="Q228" s="1765">
        <v>0</v>
      </c>
      <c r="R228" s="1765">
        <v>0</v>
      </c>
      <c r="S228" s="1765">
        <v>0</v>
      </c>
      <c r="T228" s="1765">
        <v>0</v>
      </c>
      <c r="U228" s="1765">
        <v>0</v>
      </c>
      <c r="V228" s="1765">
        <v>0</v>
      </c>
      <c r="W228" s="1765">
        <v>0</v>
      </c>
      <c r="X228" s="1765">
        <v>0</v>
      </c>
      <c r="Y228" s="1765">
        <v>0</v>
      </c>
      <c r="Z228" s="1765">
        <v>0</v>
      </c>
      <c r="AA228" s="1765">
        <v>0</v>
      </c>
      <c r="AB228" s="1765">
        <v>0</v>
      </c>
      <c r="AC228" s="1765">
        <v>0</v>
      </c>
      <c r="AD228" s="1765">
        <v>0</v>
      </c>
      <c r="AE228" s="1765">
        <v>0</v>
      </c>
      <c r="AF228" s="1765">
        <v>0</v>
      </c>
      <c r="AG228" s="1765">
        <v>0</v>
      </c>
      <c r="AH228" s="1765">
        <v>0</v>
      </c>
      <c r="AI228" s="1765">
        <v>0</v>
      </c>
      <c r="AJ228" s="1765">
        <v>0</v>
      </c>
      <c r="AK228" s="1765">
        <v>0</v>
      </c>
      <c r="AL228" s="1765">
        <v>0</v>
      </c>
      <c r="AM228" s="1765">
        <v>0</v>
      </c>
      <c r="AN228" s="1765">
        <v>0</v>
      </c>
      <c r="AO228" s="1765">
        <v>0</v>
      </c>
      <c r="AP228" s="1765">
        <v>0</v>
      </c>
      <c r="AQ228" s="1765">
        <v>0</v>
      </c>
      <c r="AR228" s="1765">
        <v>0</v>
      </c>
      <c r="AS228" s="1765">
        <v>0</v>
      </c>
      <c r="AT228" s="1765">
        <v>0</v>
      </c>
      <c r="AU228" s="1765">
        <v>0</v>
      </c>
      <c r="AV228" s="1765">
        <v>0</v>
      </c>
      <c r="AW228" s="1765">
        <v>0</v>
      </c>
      <c r="AX228" s="1765">
        <v>0</v>
      </c>
      <c r="AY228" s="1765">
        <v>0</v>
      </c>
      <c r="AZ228" s="1765">
        <v>0</v>
      </c>
      <c r="BA228" s="1765">
        <v>0</v>
      </c>
      <c r="BB228" s="1765">
        <v>0</v>
      </c>
      <c r="BC228" s="1765">
        <v>0</v>
      </c>
      <c r="BD228" s="1765">
        <v>0</v>
      </c>
      <c r="BE228" s="1765">
        <v>0</v>
      </c>
      <c r="BF228" s="1765">
        <v>0</v>
      </c>
      <c r="BG228" s="1765">
        <v>0</v>
      </c>
      <c r="BH228" s="1765">
        <v>0</v>
      </c>
      <c r="BI228" s="1765">
        <v>0</v>
      </c>
      <c r="BJ228" s="1765">
        <v>0</v>
      </c>
      <c r="BK228" s="1765">
        <v>0</v>
      </c>
      <c r="BL228" s="1765">
        <v>0</v>
      </c>
      <c r="BM228" s="1765">
        <v>0</v>
      </c>
      <c r="BN228" s="1765">
        <v>0</v>
      </c>
      <c r="BO228" s="1765">
        <v>0</v>
      </c>
      <c r="BP228" s="1765">
        <v>0</v>
      </c>
      <c r="BQ228" s="1765">
        <v>0</v>
      </c>
      <c r="BR228" s="1765">
        <v>0</v>
      </c>
      <c r="BS228" s="1765">
        <v>0</v>
      </c>
      <c r="BT228" s="1765">
        <v>0</v>
      </c>
      <c r="BU228" s="1765">
        <v>0</v>
      </c>
      <c r="BV228" s="1765">
        <v>0</v>
      </c>
      <c r="BW228" s="1765">
        <v>0</v>
      </c>
      <c r="BX228" s="1765">
        <v>0</v>
      </c>
      <c r="BY228" s="1765">
        <v>0</v>
      </c>
      <c r="BZ228" s="1765">
        <v>0</v>
      </c>
      <c r="CA228" s="1765">
        <v>0</v>
      </c>
      <c r="CB228" s="1765">
        <v>0</v>
      </c>
      <c r="CC228" s="1765">
        <v>0</v>
      </c>
      <c r="CD228" s="1765">
        <v>0</v>
      </c>
      <c r="CE228" s="1765">
        <v>0</v>
      </c>
      <c r="CF228" s="1765">
        <v>0</v>
      </c>
      <c r="CG228" s="1765">
        <v>0</v>
      </c>
      <c r="CH228" s="1765">
        <v>0</v>
      </c>
      <c r="CI228" s="1765">
        <v>0</v>
      </c>
      <c r="CJ228" s="1765">
        <v>0</v>
      </c>
      <c r="CK228" s="1765">
        <v>0</v>
      </c>
      <c r="CL228" s="1765">
        <v>0</v>
      </c>
      <c r="CM228" s="1765">
        <v>0</v>
      </c>
      <c r="CN228" s="1765">
        <v>0</v>
      </c>
      <c r="CO228" s="1765">
        <v>0</v>
      </c>
      <c r="CP228" s="1765">
        <v>0</v>
      </c>
    </row>
    <row r="229" spans="1:94" ht="15" customHeight="1" x14ac:dyDescent="0.2">
      <c r="A229" s="1847"/>
      <c r="B229" s="1856"/>
      <c r="C229" s="653" t="s">
        <v>1123</v>
      </c>
      <c r="D229" s="936"/>
      <c r="E229" s="1879"/>
      <c r="F229" s="1225"/>
      <c r="G229" s="1765">
        <v>0</v>
      </c>
      <c r="H229" s="1765">
        <v>0</v>
      </c>
      <c r="I229" s="1765">
        <v>0</v>
      </c>
      <c r="J229" s="1765">
        <v>0</v>
      </c>
      <c r="K229" s="1765">
        <v>0</v>
      </c>
      <c r="L229" s="1765">
        <v>0</v>
      </c>
      <c r="M229" s="1765">
        <v>0</v>
      </c>
      <c r="N229" s="1765">
        <v>0</v>
      </c>
      <c r="O229" s="1765">
        <v>0</v>
      </c>
      <c r="P229" s="1765">
        <v>0</v>
      </c>
      <c r="Q229" s="1765">
        <v>0</v>
      </c>
      <c r="R229" s="1765">
        <v>0</v>
      </c>
      <c r="S229" s="1765">
        <v>0</v>
      </c>
      <c r="T229" s="1765">
        <v>0</v>
      </c>
      <c r="U229" s="1765">
        <v>0</v>
      </c>
      <c r="V229" s="1765">
        <v>0</v>
      </c>
      <c r="W229" s="1765">
        <v>0</v>
      </c>
      <c r="X229" s="1765">
        <v>0</v>
      </c>
      <c r="Y229" s="1765">
        <v>0</v>
      </c>
      <c r="Z229" s="1765">
        <v>0</v>
      </c>
      <c r="AA229" s="1765">
        <v>0</v>
      </c>
      <c r="AB229" s="1765">
        <v>0</v>
      </c>
      <c r="AC229" s="1765">
        <v>0</v>
      </c>
      <c r="AD229" s="1765">
        <v>0</v>
      </c>
      <c r="AE229" s="1765">
        <v>0</v>
      </c>
      <c r="AF229" s="1765">
        <v>0</v>
      </c>
      <c r="AG229" s="1765">
        <v>0</v>
      </c>
      <c r="AH229" s="1765">
        <v>0</v>
      </c>
      <c r="AI229" s="1765">
        <v>0</v>
      </c>
      <c r="AJ229" s="1765">
        <v>0</v>
      </c>
      <c r="AK229" s="1765">
        <v>0</v>
      </c>
      <c r="AL229" s="1765">
        <v>0</v>
      </c>
      <c r="AM229" s="1765">
        <v>0</v>
      </c>
      <c r="AN229" s="1765">
        <v>0</v>
      </c>
      <c r="AO229" s="1765">
        <v>0</v>
      </c>
      <c r="AP229" s="1765">
        <v>0</v>
      </c>
      <c r="AQ229" s="1765">
        <v>0</v>
      </c>
      <c r="AR229" s="1765">
        <v>0</v>
      </c>
      <c r="AS229" s="1765">
        <v>0</v>
      </c>
      <c r="AT229" s="1765">
        <v>0</v>
      </c>
      <c r="AU229" s="1765">
        <v>0</v>
      </c>
      <c r="AV229" s="1765">
        <v>0</v>
      </c>
      <c r="AW229" s="1765">
        <v>0</v>
      </c>
      <c r="AX229" s="1765">
        <v>0</v>
      </c>
      <c r="AY229" s="1765">
        <v>0</v>
      </c>
      <c r="AZ229" s="1765">
        <v>0</v>
      </c>
      <c r="BA229" s="1765">
        <v>0</v>
      </c>
      <c r="BB229" s="1765">
        <v>0</v>
      </c>
      <c r="BC229" s="1765">
        <v>0</v>
      </c>
      <c r="BD229" s="1765">
        <v>0</v>
      </c>
      <c r="BE229" s="1765">
        <v>0</v>
      </c>
      <c r="BF229" s="1765">
        <v>0</v>
      </c>
      <c r="BG229" s="1765">
        <v>0</v>
      </c>
      <c r="BH229" s="1765">
        <v>0</v>
      </c>
      <c r="BI229" s="1765">
        <v>0</v>
      </c>
      <c r="BJ229" s="1765">
        <v>0</v>
      </c>
      <c r="BK229" s="1765">
        <v>0</v>
      </c>
      <c r="BL229" s="1765">
        <v>0</v>
      </c>
      <c r="BM229" s="1765">
        <v>0</v>
      </c>
      <c r="BN229" s="1765">
        <v>0</v>
      </c>
      <c r="BO229" s="1765">
        <v>0</v>
      </c>
      <c r="BP229" s="1765">
        <v>0</v>
      </c>
      <c r="BQ229" s="1765">
        <v>0</v>
      </c>
      <c r="BR229" s="1765">
        <v>0</v>
      </c>
      <c r="BS229" s="1765">
        <v>0</v>
      </c>
      <c r="BT229" s="1765">
        <v>0</v>
      </c>
      <c r="BU229" s="1765">
        <v>0</v>
      </c>
      <c r="BV229" s="1765">
        <v>0</v>
      </c>
      <c r="BW229" s="1765">
        <v>0</v>
      </c>
      <c r="BX229" s="1765">
        <v>0</v>
      </c>
      <c r="BY229" s="1765">
        <v>0</v>
      </c>
      <c r="BZ229" s="1765">
        <v>0</v>
      </c>
      <c r="CA229" s="1765">
        <v>0</v>
      </c>
      <c r="CB229" s="1765">
        <v>0</v>
      </c>
      <c r="CC229" s="1765">
        <v>0</v>
      </c>
      <c r="CD229" s="1765">
        <v>0</v>
      </c>
      <c r="CE229" s="1765">
        <v>0</v>
      </c>
      <c r="CF229" s="1765">
        <v>0</v>
      </c>
      <c r="CG229" s="1765">
        <v>0</v>
      </c>
      <c r="CH229" s="1765">
        <v>0</v>
      </c>
      <c r="CI229" s="1765">
        <v>0</v>
      </c>
      <c r="CJ229" s="1765">
        <v>0</v>
      </c>
      <c r="CK229" s="1765">
        <v>0</v>
      </c>
      <c r="CL229" s="1765">
        <v>0</v>
      </c>
      <c r="CM229" s="1765">
        <v>0</v>
      </c>
      <c r="CN229" s="1765">
        <v>0</v>
      </c>
      <c r="CO229" s="1765">
        <v>0</v>
      </c>
      <c r="CP229" s="1765">
        <v>0</v>
      </c>
    </row>
    <row r="230" spans="1:94" ht="28.5" customHeight="1" x14ac:dyDescent="0.2">
      <c r="A230" s="1847"/>
      <c r="B230" s="1856"/>
      <c r="C230" s="652" t="s">
        <v>1122</v>
      </c>
      <c r="D230" s="936"/>
      <c r="E230" s="1879"/>
      <c r="F230" s="1225"/>
      <c r="G230" s="1765">
        <v>0</v>
      </c>
      <c r="H230" s="1765">
        <v>0</v>
      </c>
      <c r="I230" s="1765">
        <v>0</v>
      </c>
      <c r="J230" s="1765">
        <v>0</v>
      </c>
      <c r="K230" s="1765">
        <v>0</v>
      </c>
      <c r="L230" s="1765">
        <v>0</v>
      </c>
      <c r="M230" s="1765">
        <v>0</v>
      </c>
      <c r="N230" s="1765">
        <v>0</v>
      </c>
      <c r="O230" s="1765">
        <v>0</v>
      </c>
      <c r="P230" s="1765">
        <v>0</v>
      </c>
      <c r="Q230" s="1765">
        <v>0</v>
      </c>
      <c r="R230" s="1765">
        <v>0</v>
      </c>
      <c r="S230" s="1765">
        <v>0</v>
      </c>
      <c r="T230" s="1765">
        <v>0</v>
      </c>
      <c r="U230" s="1765">
        <v>0</v>
      </c>
      <c r="V230" s="1765">
        <v>0</v>
      </c>
      <c r="W230" s="1765">
        <v>0</v>
      </c>
      <c r="X230" s="1765">
        <v>0</v>
      </c>
      <c r="Y230" s="1765">
        <v>0</v>
      </c>
      <c r="Z230" s="1765">
        <v>0</v>
      </c>
      <c r="AA230" s="1765">
        <v>0</v>
      </c>
      <c r="AB230" s="1765">
        <v>0</v>
      </c>
      <c r="AC230" s="1765">
        <v>0</v>
      </c>
      <c r="AD230" s="1765">
        <v>0</v>
      </c>
      <c r="AE230" s="1765">
        <v>0</v>
      </c>
      <c r="AF230" s="1765">
        <v>0</v>
      </c>
      <c r="AG230" s="1765">
        <v>0</v>
      </c>
      <c r="AH230" s="1765">
        <v>0</v>
      </c>
      <c r="AI230" s="1765">
        <v>0</v>
      </c>
      <c r="AJ230" s="1765">
        <v>0</v>
      </c>
      <c r="AK230" s="1765">
        <v>0</v>
      </c>
      <c r="AL230" s="1765">
        <v>0</v>
      </c>
      <c r="AM230" s="1765">
        <v>0</v>
      </c>
      <c r="AN230" s="1765">
        <v>0</v>
      </c>
      <c r="AO230" s="1765">
        <v>0</v>
      </c>
      <c r="AP230" s="1765">
        <v>0</v>
      </c>
      <c r="AQ230" s="1765">
        <v>0</v>
      </c>
      <c r="AR230" s="1765">
        <v>0</v>
      </c>
      <c r="AS230" s="1765">
        <v>0</v>
      </c>
      <c r="AT230" s="1765">
        <v>0</v>
      </c>
      <c r="AU230" s="1765">
        <v>0</v>
      </c>
      <c r="AV230" s="1765">
        <v>0</v>
      </c>
      <c r="AW230" s="1765">
        <v>0</v>
      </c>
      <c r="AX230" s="1765">
        <v>0</v>
      </c>
      <c r="AY230" s="1765">
        <v>0</v>
      </c>
      <c r="AZ230" s="1765">
        <v>0</v>
      </c>
      <c r="BA230" s="1765">
        <v>0</v>
      </c>
      <c r="BB230" s="1765">
        <v>0</v>
      </c>
      <c r="BC230" s="1765">
        <v>0</v>
      </c>
      <c r="BD230" s="1765">
        <v>0</v>
      </c>
      <c r="BE230" s="1765">
        <v>0</v>
      </c>
      <c r="BF230" s="1765">
        <v>0</v>
      </c>
      <c r="BG230" s="1765">
        <v>0</v>
      </c>
      <c r="BH230" s="1765">
        <v>0</v>
      </c>
      <c r="BI230" s="1765">
        <v>0</v>
      </c>
      <c r="BJ230" s="1765">
        <v>0</v>
      </c>
      <c r="BK230" s="1765">
        <v>0</v>
      </c>
      <c r="BL230" s="1765">
        <v>0</v>
      </c>
      <c r="BM230" s="1765">
        <v>0</v>
      </c>
      <c r="BN230" s="1765">
        <v>0</v>
      </c>
      <c r="BO230" s="1765">
        <v>0</v>
      </c>
      <c r="BP230" s="1765">
        <v>0</v>
      </c>
      <c r="BQ230" s="1765">
        <v>0</v>
      </c>
      <c r="BR230" s="1765">
        <v>0</v>
      </c>
      <c r="BS230" s="1765">
        <v>0</v>
      </c>
      <c r="BT230" s="1765">
        <v>0</v>
      </c>
      <c r="BU230" s="1765">
        <v>0</v>
      </c>
      <c r="BV230" s="1765">
        <v>0</v>
      </c>
      <c r="BW230" s="1765">
        <v>0</v>
      </c>
      <c r="BX230" s="1765">
        <v>0</v>
      </c>
      <c r="BY230" s="1765">
        <v>0</v>
      </c>
      <c r="BZ230" s="1765">
        <v>0</v>
      </c>
      <c r="CA230" s="1765">
        <v>0</v>
      </c>
      <c r="CB230" s="1765">
        <v>0</v>
      </c>
      <c r="CC230" s="1765">
        <v>0</v>
      </c>
      <c r="CD230" s="1765">
        <v>0</v>
      </c>
      <c r="CE230" s="1765">
        <v>0</v>
      </c>
      <c r="CF230" s="1765">
        <v>0</v>
      </c>
      <c r="CG230" s="1765">
        <v>0</v>
      </c>
      <c r="CH230" s="1765">
        <v>0</v>
      </c>
      <c r="CI230" s="1765">
        <v>0</v>
      </c>
      <c r="CJ230" s="1765">
        <v>0</v>
      </c>
      <c r="CK230" s="1765">
        <v>0</v>
      </c>
      <c r="CL230" s="1765">
        <v>0</v>
      </c>
      <c r="CM230" s="1765">
        <v>0</v>
      </c>
      <c r="CN230" s="1765">
        <v>0</v>
      </c>
      <c r="CO230" s="1765">
        <v>0</v>
      </c>
      <c r="CP230" s="1765">
        <v>0</v>
      </c>
    </row>
    <row r="231" spans="1:94" ht="15" customHeight="1" x14ac:dyDescent="0.2">
      <c r="A231" s="1847"/>
      <c r="B231" s="1856"/>
      <c r="C231" s="652" t="s">
        <v>1121</v>
      </c>
      <c r="D231" s="936"/>
      <c r="E231" s="1879"/>
      <c r="F231" s="1225"/>
      <c r="G231" s="1765">
        <v>0</v>
      </c>
      <c r="H231" s="1765">
        <v>0</v>
      </c>
      <c r="I231" s="1765">
        <v>0</v>
      </c>
      <c r="J231" s="1765">
        <v>0</v>
      </c>
      <c r="K231" s="1765">
        <v>0</v>
      </c>
      <c r="L231" s="1765">
        <v>0</v>
      </c>
      <c r="M231" s="1765">
        <v>0</v>
      </c>
      <c r="N231" s="1765">
        <v>0</v>
      </c>
      <c r="O231" s="1765">
        <v>0</v>
      </c>
      <c r="P231" s="1765">
        <v>0</v>
      </c>
      <c r="Q231" s="1765">
        <v>0</v>
      </c>
      <c r="R231" s="1765">
        <v>0</v>
      </c>
      <c r="S231" s="1765">
        <v>0</v>
      </c>
      <c r="T231" s="1765">
        <v>0</v>
      </c>
      <c r="U231" s="1765">
        <v>0</v>
      </c>
      <c r="V231" s="1765">
        <v>0</v>
      </c>
      <c r="W231" s="1765">
        <v>0</v>
      </c>
      <c r="X231" s="1765">
        <v>0</v>
      </c>
      <c r="Y231" s="1765">
        <v>0</v>
      </c>
      <c r="Z231" s="1765">
        <v>0</v>
      </c>
      <c r="AA231" s="1765">
        <v>0</v>
      </c>
      <c r="AB231" s="1765">
        <v>0</v>
      </c>
      <c r="AC231" s="1765">
        <v>0</v>
      </c>
      <c r="AD231" s="1765">
        <v>0</v>
      </c>
      <c r="AE231" s="1765">
        <v>0</v>
      </c>
      <c r="AF231" s="1765">
        <v>0</v>
      </c>
      <c r="AG231" s="1765">
        <v>0</v>
      </c>
      <c r="AH231" s="1765">
        <v>0</v>
      </c>
      <c r="AI231" s="1765">
        <v>0</v>
      </c>
      <c r="AJ231" s="1765">
        <v>0</v>
      </c>
      <c r="AK231" s="1765">
        <v>0</v>
      </c>
      <c r="AL231" s="1765">
        <v>0</v>
      </c>
      <c r="AM231" s="1765">
        <v>0</v>
      </c>
      <c r="AN231" s="1765">
        <v>0</v>
      </c>
      <c r="AO231" s="1765">
        <v>0</v>
      </c>
      <c r="AP231" s="1765">
        <v>0</v>
      </c>
      <c r="AQ231" s="1765">
        <v>0</v>
      </c>
      <c r="AR231" s="1765">
        <v>0</v>
      </c>
      <c r="AS231" s="1765">
        <v>0</v>
      </c>
      <c r="AT231" s="1765">
        <v>0</v>
      </c>
      <c r="AU231" s="1765">
        <v>0</v>
      </c>
      <c r="AV231" s="1765">
        <v>0</v>
      </c>
      <c r="AW231" s="1765">
        <v>0</v>
      </c>
      <c r="AX231" s="1765">
        <v>0</v>
      </c>
      <c r="AY231" s="1765">
        <v>0</v>
      </c>
      <c r="AZ231" s="1765">
        <v>0</v>
      </c>
      <c r="BA231" s="1765">
        <v>0</v>
      </c>
      <c r="BB231" s="1765">
        <v>0</v>
      </c>
      <c r="BC231" s="1765">
        <v>0</v>
      </c>
      <c r="BD231" s="1765">
        <v>0</v>
      </c>
      <c r="BE231" s="1765">
        <v>0</v>
      </c>
      <c r="BF231" s="1765">
        <v>0</v>
      </c>
      <c r="BG231" s="1765">
        <v>0</v>
      </c>
      <c r="BH231" s="1765">
        <v>0</v>
      </c>
      <c r="BI231" s="1765">
        <v>0</v>
      </c>
      <c r="BJ231" s="1765">
        <v>0</v>
      </c>
      <c r="BK231" s="1765">
        <v>0</v>
      </c>
      <c r="BL231" s="1765">
        <v>0</v>
      </c>
      <c r="BM231" s="1765">
        <v>0</v>
      </c>
      <c r="BN231" s="1765">
        <v>0</v>
      </c>
      <c r="BO231" s="1765">
        <v>0</v>
      </c>
      <c r="BP231" s="1765">
        <v>0</v>
      </c>
      <c r="BQ231" s="1765">
        <v>0</v>
      </c>
      <c r="BR231" s="1765">
        <v>0</v>
      </c>
      <c r="BS231" s="1765">
        <v>0</v>
      </c>
      <c r="BT231" s="1765">
        <v>0</v>
      </c>
      <c r="BU231" s="1765">
        <v>0</v>
      </c>
      <c r="BV231" s="1765">
        <v>0</v>
      </c>
      <c r="BW231" s="1765">
        <v>0</v>
      </c>
      <c r="BX231" s="1765">
        <v>0</v>
      </c>
      <c r="BY231" s="1765">
        <v>0</v>
      </c>
      <c r="BZ231" s="1765">
        <v>0</v>
      </c>
      <c r="CA231" s="1765">
        <v>0</v>
      </c>
      <c r="CB231" s="1765">
        <v>0</v>
      </c>
      <c r="CC231" s="1765">
        <v>0</v>
      </c>
      <c r="CD231" s="1765">
        <v>0</v>
      </c>
      <c r="CE231" s="1765">
        <v>0</v>
      </c>
      <c r="CF231" s="1765">
        <v>0</v>
      </c>
      <c r="CG231" s="1765">
        <v>0</v>
      </c>
      <c r="CH231" s="1765">
        <v>0</v>
      </c>
      <c r="CI231" s="1765">
        <v>0</v>
      </c>
      <c r="CJ231" s="1765">
        <v>0</v>
      </c>
      <c r="CK231" s="1765">
        <v>0</v>
      </c>
      <c r="CL231" s="1765">
        <v>0</v>
      </c>
      <c r="CM231" s="1765">
        <v>0</v>
      </c>
      <c r="CN231" s="1765">
        <v>0</v>
      </c>
      <c r="CO231" s="1765">
        <v>0</v>
      </c>
      <c r="CP231" s="1765">
        <v>0</v>
      </c>
    </row>
    <row r="232" spans="1:94" ht="27" customHeight="1" thickBot="1" x14ac:dyDescent="0.25">
      <c r="A232" s="1848"/>
      <c r="B232" s="1857"/>
      <c r="C232" s="652" t="s">
        <v>2126</v>
      </c>
      <c r="D232" s="936"/>
      <c r="E232" s="1880"/>
      <c r="F232" s="1225"/>
      <c r="G232" s="1765">
        <v>0</v>
      </c>
      <c r="H232" s="1765">
        <v>0</v>
      </c>
      <c r="I232" s="1765">
        <v>0</v>
      </c>
      <c r="J232" s="1765">
        <v>0</v>
      </c>
      <c r="K232" s="1765">
        <v>0</v>
      </c>
      <c r="L232" s="1765">
        <v>0</v>
      </c>
      <c r="M232" s="1765">
        <v>0</v>
      </c>
      <c r="N232" s="1765">
        <v>0</v>
      </c>
      <c r="O232" s="1765">
        <v>0</v>
      </c>
      <c r="P232" s="1765">
        <v>0</v>
      </c>
      <c r="Q232" s="1765">
        <v>0</v>
      </c>
      <c r="R232" s="1765">
        <v>0</v>
      </c>
      <c r="S232" s="1765">
        <v>0</v>
      </c>
      <c r="T232" s="1765">
        <v>0</v>
      </c>
      <c r="U232" s="1765">
        <v>0</v>
      </c>
      <c r="V232" s="1765">
        <v>0</v>
      </c>
      <c r="W232" s="1765">
        <v>0</v>
      </c>
      <c r="X232" s="1765">
        <v>0</v>
      </c>
      <c r="Y232" s="1765">
        <v>0</v>
      </c>
      <c r="Z232" s="1765">
        <v>0</v>
      </c>
      <c r="AA232" s="1765">
        <v>0</v>
      </c>
      <c r="AB232" s="1765">
        <v>0</v>
      </c>
      <c r="AC232" s="1765">
        <v>0</v>
      </c>
      <c r="AD232" s="1765">
        <v>0</v>
      </c>
      <c r="AE232" s="1765">
        <v>0</v>
      </c>
      <c r="AF232" s="1765">
        <v>0</v>
      </c>
      <c r="AG232" s="1765">
        <v>0</v>
      </c>
      <c r="AH232" s="1765">
        <v>0</v>
      </c>
      <c r="AI232" s="1765">
        <v>0</v>
      </c>
      <c r="AJ232" s="1765">
        <v>0</v>
      </c>
      <c r="AK232" s="1765">
        <v>0</v>
      </c>
      <c r="AL232" s="1765">
        <v>0</v>
      </c>
      <c r="AM232" s="1765">
        <v>0</v>
      </c>
      <c r="AN232" s="1765">
        <v>0</v>
      </c>
      <c r="AO232" s="1765">
        <v>0</v>
      </c>
      <c r="AP232" s="1765">
        <v>0</v>
      </c>
      <c r="AQ232" s="1765">
        <v>0</v>
      </c>
      <c r="AR232" s="1765">
        <v>0</v>
      </c>
      <c r="AS232" s="1765">
        <v>0</v>
      </c>
      <c r="AT232" s="1765">
        <v>0</v>
      </c>
      <c r="AU232" s="1765">
        <v>0</v>
      </c>
      <c r="AV232" s="1765">
        <v>0</v>
      </c>
      <c r="AW232" s="1765">
        <v>0</v>
      </c>
      <c r="AX232" s="1765">
        <v>0</v>
      </c>
      <c r="AY232" s="1765">
        <v>0</v>
      </c>
      <c r="AZ232" s="1765">
        <v>0</v>
      </c>
      <c r="BA232" s="1765">
        <v>0</v>
      </c>
      <c r="BB232" s="1765">
        <v>0</v>
      </c>
      <c r="BC232" s="1765">
        <v>0</v>
      </c>
      <c r="BD232" s="1765">
        <v>0</v>
      </c>
      <c r="BE232" s="1765">
        <v>0</v>
      </c>
      <c r="BF232" s="1765">
        <v>0</v>
      </c>
      <c r="BG232" s="1765">
        <v>0</v>
      </c>
      <c r="BH232" s="1765">
        <v>0</v>
      </c>
      <c r="BI232" s="1765">
        <v>0</v>
      </c>
      <c r="BJ232" s="1765">
        <v>0</v>
      </c>
      <c r="BK232" s="1765">
        <v>0</v>
      </c>
      <c r="BL232" s="1765">
        <v>0</v>
      </c>
      <c r="BM232" s="1765">
        <v>0</v>
      </c>
      <c r="BN232" s="1765">
        <v>0</v>
      </c>
      <c r="BO232" s="1765">
        <v>0</v>
      </c>
      <c r="BP232" s="1765">
        <v>0</v>
      </c>
      <c r="BQ232" s="1765">
        <v>0</v>
      </c>
      <c r="BR232" s="1765">
        <v>0</v>
      </c>
      <c r="BS232" s="1765">
        <v>0</v>
      </c>
      <c r="BT232" s="1765">
        <v>0</v>
      </c>
      <c r="BU232" s="1765">
        <v>0</v>
      </c>
      <c r="BV232" s="1765">
        <v>0</v>
      </c>
      <c r="BW232" s="1765">
        <v>0</v>
      </c>
      <c r="BX232" s="1765">
        <v>0</v>
      </c>
      <c r="BY232" s="1765">
        <v>0</v>
      </c>
      <c r="BZ232" s="1765">
        <v>0</v>
      </c>
      <c r="CA232" s="1765">
        <v>0</v>
      </c>
      <c r="CB232" s="1765">
        <v>0</v>
      </c>
      <c r="CC232" s="1765">
        <v>0</v>
      </c>
      <c r="CD232" s="1765">
        <v>0</v>
      </c>
      <c r="CE232" s="1765">
        <v>0</v>
      </c>
      <c r="CF232" s="1765">
        <v>0</v>
      </c>
      <c r="CG232" s="1765">
        <v>0</v>
      </c>
      <c r="CH232" s="1765">
        <v>0</v>
      </c>
      <c r="CI232" s="1765">
        <v>0</v>
      </c>
      <c r="CJ232" s="1765">
        <v>0</v>
      </c>
      <c r="CK232" s="1765">
        <v>0</v>
      </c>
      <c r="CL232" s="1765">
        <v>0</v>
      </c>
      <c r="CM232" s="1765">
        <v>0</v>
      </c>
      <c r="CN232" s="1765">
        <v>0</v>
      </c>
      <c r="CO232" s="1765">
        <v>0</v>
      </c>
      <c r="CP232" s="1765">
        <v>0</v>
      </c>
    </row>
    <row r="233" spans="1:94" ht="68.25" customHeight="1" thickBot="1" x14ac:dyDescent="0.25">
      <c r="A233" s="1846" t="s">
        <v>248</v>
      </c>
      <c r="B233" s="1846" t="s">
        <v>631</v>
      </c>
      <c r="C233" s="1776" t="s">
        <v>2534</v>
      </c>
      <c r="D233" s="947"/>
      <c r="E233" s="1830" t="s">
        <v>2323</v>
      </c>
      <c r="F233" s="1225"/>
      <c r="G233" s="1742"/>
      <c r="H233" s="1742"/>
      <c r="I233" s="1742"/>
      <c r="J233" s="1742"/>
      <c r="K233" s="1742"/>
      <c r="L233" s="1742"/>
      <c r="M233" s="1742"/>
      <c r="N233" s="1742"/>
      <c r="O233" s="1742"/>
      <c r="P233" s="1742"/>
      <c r="Q233" s="1742"/>
      <c r="R233" s="1742"/>
      <c r="S233" s="1742"/>
      <c r="T233" s="1742"/>
      <c r="U233" s="1742"/>
      <c r="V233" s="1742"/>
      <c r="W233" s="1742"/>
      <c r="X233" s="1742"/>
      <c r="Y233" s="1742"/>
      <c r="Z233" s="1742"/>
      <c r="AA233" s="1742"/>
      <c r="AB233" s="1742"/>
      <c r="AC233" s="1742"/>
      <c r="AD233" s="1742"/>
      <c r="AE233" s="1742"/>
      <c r="AF233" s="1742"/>
      <c r="AG233" s="1742"/>
      <c r="AH233" s="1742"/>
      <c r="AI233" s="1742"/>
      <c r="AJ233" s="1742"/>
      <c r="AK233" s="1742"/>
      <c r="AL233" s="1742"/>
      <c r="AM233" s="1742"/>
      <c r="AN233" s="1742"/>
      <c r="AO233" s="1742"/>
      <c r="AP233" s="1742"/>
      <c r="AQ233" s="1742"/>
      <c r="AR233" s="1742"/>
      <c r="AS233" s="1742"/>
      <c r="AT233" s="1742"/>
      <c r="AU233" s="1742"/>
      <c r="AV233" s="1742"/>
      <c r="AW233" s="1742"/>
      <c r="AX233" s="1742"/>
      <c r="AY233" s="1742"/>
      <c r="AZ233" s="1742"/>
      <c r="BA233" s="1742"/>
      <c r="BB233" s="1742"/>
      <c r="BC233" s="1742"/>
      <c r="BD233" s="1742"/>
      <c r="BE233" s="1742"/>
      <c r="BF233" s="1742"/>
      <c r="BG233" s="1742"/>
      <c r="BH233" s="1742"/>
      <c r="BI233" s="1742"/>
      <c r="BJ233" s="1742"/>
      <c r="BK233" s="1742"/>
      <c r="BL233" s="1742"/>
      <c r="BM233" s="1742"/>
      <c r="BN233" s="1742"/>
      <c r="BO233" s="1742"/>
      <c r="BP233" s="1742"/>
      <c r="BQ233" s="1742"/>
      <c r="BR233" s="1742"/>
      <c r="BS233" s="1742"/>
      <c r="BT233" s="1742"/>
      <c r="BU233" s="1742"/>
      <c r="BV233" s="1742"/>
      <c r="BW233" s="1742"/>
      <c r="BX233" s="1742"/>
      <c r="BY233" s="1742"/>
      <c r="BZ233" s="1742"/>
      <c r="CA233" s="1742"/>
      <c r="CB233" s="1742"/>
      <c r="CC233" s="1742"/>
      <c r="CD233" s="1742"/>
      <c r="CE233" s="1742"/>
      <c r="CF233" s="1742"/>
      <c r="CG233" s="1742"/>
      <c r="CH233" s="1742"/>
      <c r="CI233" s="1742"/>
      <c r="CJ233" s="1742"/>
      <c r="CK233" s="1742"/>
      <c r="CL233" s="1742"/>
      <c r="CM233" s="1742"/>
      <c r="CN233" s="1742"/>
      <c r="CO233" s="1742"/>
      <c r="CP233" s="1742"/>
    </row>
    <row r="234" spans="1:94" ht="15" customHeight="1" x14ac:dyDescent="0.2">
      <c r="A234" s="1847"/>
      <c r="B234" s="1856"/>
      <c r="C234" s="655" t="s">
        <v>2127</v>
      </c>
      <c r="D234" s="936"/>
      <c r="E234" s="1831"/>
      <c r="F234" s="1225"/>
      <c r="G234" s="1767">
        <v>0</v>
      </c>
      <c r="H234" s="1767">
        <v>0</v>
      </c>
      <c r="I234" s="1767">
        <v>0</v>
      </c>
      <c r="J234" s="1767">
        <v>0</v>
      </c>
      <c r="K234" s="1767">
        <v>0</v>
      </c>
      <c r="L234" s="1767">
        <v>0</v>
      </c>
      <c r="M234" s="1767">
        <v>0</v>
      </c>
      <c r="N234" s="1767">
        <v>0</v>
      </c>
      <c r="O234" s="1767">
        <v>0</v>
      </c>
      <c r="P234" s="1767">
        <v>0</v>
      </c>
      <c r="Q234" s="1767">
        <v>0</v>
      </c>
      <c r="R234" s="1767">
        <v>0</v>
      </c>
      <c r="S234" s="1767">
        <v>0</v>
      </c>
      <c r="T234" s="1767">
        <v>0</v>
      </c>
      <c r="U234" s="1767">
        <v>0</v>
      </c>
      <c r="V234" s="1767">
        <v>0</v>
      </c>
      <c r="W234" s="1767">
        <v>0</v>
      </c>
      <c r="X234" s="1767">
        <v>0</v>
      </c>
      <c r="Y234" s="1767">
        <v>0</v>
      </c>
      <c r="Z234" s="1767">
        <v>0</v>
      </c>
      <c r="AA234" s="1767">
        <v>0</v>
      </c>
      <c r="AB234" s="1767">
        <v>0</v>
      </c>
      <c r="AC234" s="1767">
        <v>0</v>
      </c>
      <c r="AD234" s="1767">
        <v>0</v>
      </c>
      <c r="AE234" s="1767">
        <v>0</v>
      </c>
      <c r="AF234" s="1767">
        <v>0</v>
      </c>
      <c r="AG234" s="1767">
        <v>0</v>
      </c>
      <c r="AH234" s="1767">
        <v>0</v>
      </c>
      <c r="AI234" s="1767">
        <v>0</v>
      </c>
      <c r="AJ234" s="1767">
        <v>0</v>
      </c>
      <c r="AK234" s="1767">
        <v>0</v>
      </c>
      <c r="AL234" s="1767">
        <v>0</v>
      </c>
      <c r="AM234" s="1767">
        <v>0</v>
      </c>
      <c r="AN234" s="1767">
        <v>0</v>
      </c>
      <c r="AO234" s="1767">
        <v>0</v>
      </c>
      <c r="AP234" s="1767">
        <v>0</v>
      </c>
      <c r="AQ234" s="1767">
        <v>0</v>
      </c>
      <c r="AR234" s="1767">
        <v>0</v>
      </c>
      <c r="AS234" s="1767">
        <v>0</v>
      </c>
      <c r="AT234" s="1767">
        <v>0</v>
      </c>
      <c r="AU234" s="1767">
        <v>0</v>
      </c>
      <c r="AV234" s="1767">
        <v>0</v>
      </c>
      <c r="AW234" s="1767">
        <v>0</v>
      </c>
      <c r="AX234" s="1767">
        <v>0</v>
      </c>
      <c r="AY234" s="1767">
        <v>0</v>
      </c>
      <c r="AZ234" s="1767">
        <v>0</v>
      </c>
      <c r="BA234" s="1767">
        <v>0</v>
      </c>
      <c r="BB234" s="1767">
        <v>0</v>
      </c>
      <c r="BC234" s="1767">
        <v>0</v>
      </c>
      <c r="BD234" s="1767">
        <v>0</v>
      </c>
      <c r="BE234" s="1767">
        <v>0</v>
      </c>
      <c r="BF234" s="1767">
        <v>0</v>
      </c>
      <c r="BG234" s="1767">
        <v>0</v>
      </c>
      <c r="BH234" s="1767">
        <v>0</v>
      </c>
      <c r="BI234" s="1767">
        <v>0</v>
      </c>
      <c r="BJ234" s="1767">
        <v>0</v>
      </c>
      <c r="BK234" s="1767">
        <v>0</v>
      </c>
      <c r="BL234" s="1767">
        <v>0</v>
      </c>
      <c r="BM234" s="1767">
        <v>0</v>
      </c>
      <c r="BN234" s="1767">
        <v>0</v>
      </c>
      <c r="BO234" s="1767">
        <v>0</v>
      </c>
      <c r="BP234" s="1767">
        <v>0</v>
      </c>
      <c r="BQ234" s="1767">
        <v>0</v>
      </c>
      <c r="BR234" s="1767">
        <v>0</v>
      </c>
      <c r="BS234" s="1767">
        <v>0</v>
      </c>
      <c r="BT234" s="1767">
        <v>0</v>
      </c>
      <c r="BU234" s="1767">
        <v>0</v>
      </c>
      <c r="BV234" s="1767">
        <v>0</v>
      </c>
      <c r="BW234" s="1767">
        <v>0</v>
      </c>
      <c r="BX234" s="1767">
        <v>0</v>
      </c>
      <c r="BY234" s="1767">
        <v>0</v>
      </c>
      <c r="BZ234" s="1767">
        <v>0</v>
      </c>
      <c r="CA234" s="1767">
        <v>0</v>
      </c>
      <c r="CB234" s="1767">
        <v>0</v>
      </c>
      <c r="CC234" s="1767">
        <v>0</v>
      </c>
      <c r="CD234" s="1767">
        <v>0</v>
      </c>
      <c r="CE234" s="1767">
        <v>0</v>
      </c>
      <c r="CF234" s="1767">
        <v>0</v>
      </c>
      <c r="CG234" s="1767">
        <v>0</v>
      </c>
      <c r="CH234" s="1767">
        <v>0</v>
      </c>
      <c r="CI234" s="1767">
        <v>0</v>
      </c>
      <c r="CJ234" s="1767">
        <v>0</v>
      </c>
      <c r="CK234" s="1767">
        <v>0</v>
      </c>
      <c r="CL234" s="1767">
        <v>0</v>
      </c>
      <c r="CM234" s="1767">
        <v>0</v>
      </c>
      <c r="CN234" s="1767">
        <v>0</v>
      </c>
      <c r="CO234" s="1767">
        <v>0</v>
      </c>
      <c r="CP234" s="1767">
        <v>0</v>
      </c>
    </row>
    <row r="235" spans="1:94" ht="15" customHeight="1" x14ac:dyDescent="0.2">
      <c r="A235" s="1847"/>
      <c r="B235" s="1856"/>
      <c r="C235" s="656" t="s">
        <v>2128</v>
      </c>
      <c r="D235" s="936"/>
      <c r="E235" s="1831"/>
      <c r="F235" s="1225"/>
      <c r="G235" s="1767">
        <v>0</v>
      </c>
      <c r="H235" s="1767">
        <v>0</v>
      </c>
      <c r="I235" s="1767">
        <v>0</v>
      </c>
      <c r="J235" s="1767">
        <v>0</v>
      </c>
      <c r="K235" s="1767">
        <v>0</v>
      </c>
      <c r="L235" s="1767">
        <v>0</v>
      </c>
      <c r="M235" s="1767">
        <v>0</v>
      </c>
      <c r="N235" s="1767">
        <v>0</v>
      </c>
      <c r="O235" s="1767">
        <v>0</v>
      </c>
      <c r="P235" s="1767">
        <v>0</v>
      </c>
      <c r="Q235" s="1767">
        <v>0</v>
      </c>
      <c r="R235" s="1767">
        <v>0</v>
      </c>
      <c r="S235" s="1767">
        <v>0</v>
      </c>
      <c r="T235" s="1767">
        <v>0</v>
      </c>
      <c r="U235" s="1767">
        <v>0</v>
      </c>
      <c r="V235" s="1767">
        <v>0</v>
      </c>
      <c r="W235" s="1767">
        <v>0</v>
      </c>
      <c r="X235" s="1767">
        <v>0</v>
      </c>
      <c r="Y235" s="1767">
        <v>0</v>
      </c>
      <c r="Z235" s="1767">
        <v>0</v>
      </c>
      <c r="AA235" s="1767">
        <v>0</v>
      </c>
      <c r="AB235" s="1767">
        <v>0</v>
      </c>
      <c r="AC235" s="1767">
        <v>0</v>
      </c>
      <c r="AD235" s="1767">
        <v>0</v>
      </c>
      <c r="AE235" s="1767">
        <v>0</v>
      </c>
      <c r="AF235" s="1767">
        <v>0</v>
      </c>
      <c r="AG235" s="1767">
        <v>0</v>
      </c>
      <c r="AH235" s="1767">
        <v>0</v>
      </c>
      <c r="AI235" s="1767">
        <v>0</v>
      </c>
      <c r="AJ235" s="1767">
        <v>0</v>
      </c>
      <c r="AK235" s="1767">
        <v>0</v>
      </c>
      <c r="AL235" s="1767">
        <v>0</v>
      </c>
      <c r="AM235" s="1767">
        <v>0</v>
      </c>
      <c r="AN235" s="1767">
        <v>0</v>
      </c>
      <c r="AO235" s="1767">
        <v>0</v>
      </c>
      <c r="AP235" s="1767">
        <v>0</v>
      </c>
      <c r="AQ235" s="1767">
        <v>0</v>
      </c>
      <c r="AR235" s="1767">
        <v>0</v>
      </c>
      <c r="AS235" s="1767">
        <v>0</v>
      </c>
      <c r="AT235" s="1767">
        <v>0</v>
      </c>
      <c r="AU235" s="1767">
        <v>0</v>
      </c>
      <c r="AV235" s="1767">
        <v>0</v>
      </c>
      <c r="AW235" s="1767">
        <v>0</v>
      </c>
      <c r="AX235" s="1767">
        <v>0</v>
      </c>
      <c r="AY235" s="1767">
        <v>0</v>
      </c>
      <c r="AZ235" s="1767">
        <v>0</v>
      </c>
      <c r="BA235" s="1767">
        <v>0</v>
      </c>
      <c r="BB235" s="1767">
        <v>0</v>
      </c>
      <c r="BC235" s="1767">
        <v>0</v>
      </c>
      <c r="BD235" s="1767">
        <v>0</v>
      </c>
      <c r="BE235" s="1767">
        <v>0</v>
      </c>
      <c r="BF235" s="1767">
        <v>0</v>
      </c>
      <c r="BG235" s="1767">
        <v>0</v>
      </c>
      <c r="BH235" s="1767">
        <v>0</v>
      </c>
      <c r="BI235" s="1767">
        <v>0</v>
      </c>
      <c r="BJ235" s="1767">
        <v>0</v>
      </c>
      <c r="BK235" s="1767">
        <v>0</v>
      </c>
      <c r="BL235" s="1767">
        <v>0</v>
      </c>
      <c r="BM235" s="1767">
        <v>0</v>
      </c>
      <c r="BN235" s="1767">
        <v>0</v>
      </c>
      <c r="BO235" s="1767">
        <v>0</v>
      </c>
      <c r="BP235" s="1767">
        <v>0</v>
      </c>
      <c r="BQ235" s="1767">
        <v>0</v>
      </c>
      <c r="BR235" s="1767">
        <v>0</v>
      </c>
      <c r="BS235" s="1767">
        <v>0</v>
      </c>
      <c r="BT235" s="1767">
        <v>0</v>
      </c>
      <c r="BU235" s="1767">
        <v>0</v>
      </c>
      <c r="BV235" s="1767">
        <v>0</v>
      </c>
      <c r="BW235" s="1767">
        <v>0</v>
      </c>
      <c r="BX235" s="1767">
        <v>0</v>
      </c>
      <c r="BY235" s="1767">
        <v>0</v>
      </c>
      <c r="BZ235" s="1767">
        <v>0</v>
      </c>
      <c r="CA235" s="1767">
        <v>0</v>
      </c>
      <c r="CB235" s="1767">
        <v>0</v>
      </c>
      <c r="CC235" s="1767">
        <v>0</v>
      </c>
      <c r="CD235" s="1767">
        <v>0</v>
      </c>
      <c r="CE235" s="1767">
        <v>0</v>
      </c>
      <c r="CF235" s="1767">
        <v>0</v>
      </c>
      <c r="CG235" s="1767">
        <v>0</v>
      </c>
      <c r="CH235" s="1767">
        <v>0</v>
      </c>
      <c r="CI235" s="1767">
        <v>0</v>
      </c>
      <c r="CJ235" s="1767">
        <v>0</v>
      </c>
      <c r="CK235" s="1767">
        <v>0</v>
      </c>
      <c r="CL235" s="1767">
        <v>0</v>
      </c>
      <c r="CM235" s="1767">
        <v>0</v>
      </c>
      <c r="CN235" s="1767">
        <v>0</v>
      </c>
      <c r="CO235" s="1767">
        <v>0</v>
      </c>
      <c r="CP235" s="1767">
        <v>0</v>
      </c>
    </row>
    <row r="236" spans="1:94" ht="15" customHeight="1" x14ac:dyDescent="0.2">
      <c r="A236" s="1847"/>
      <c r="B236" s="1856"/>
      <c r="C236" s="656" t="s">
        <v>2129</v>
      </c>
      <c r="D236" s="936"/>
      <c r="E236" s="1831"/>
      <c r="F236" s="1225"/>
      <c r="G236" s="1767">
        <v>0</v>
      </c>
      <c r="H236" s="1767">
        <v>0</v>
      </c>
      <c r="I236" s="1767">
        <v>0</v>
      </c>
      <c r="J236" s="1767">
        <v>0</v>
      </c>
      <c r="K236" s="1767">
        <v>0</v>
      </c>
      <c r="L236" s="1767">
        <v>0</v>
      </c>
      <c r="M236" s="1767">
        <v>0</v>
      </c>
      <c r="N236" s="1767">
        <v>0</v>
      </c>
      <c r="O236" s="1767">
        <v>0</v>
      </c>
      <c r="P236" s="1767">
        <v>0</v>
      </c>
      <c r="Q236" s="1767">
        <v>0</v>
      </c>
      <c r="R236" s="1767">
        <v>0</v>
      </c>
      <c r="S236" s="1767">
        <v>0</v>
      </c>
      <c r="T236" s="1767">
        <v>0</v>
      </c>
      <c r="U236" s="1767">
        <v>0</v>
      </c>
      <c r="V236" s="1767">
        <v>0</v>
      </c>
      <c r="W236" s="1767">
        <v>0</v>
      </c>
      <c r="X236" s="1767">
        <v>0</v>
      </c>
      <c r="Y236" s="1767">
        <v>0</v>
      </c>
      <c r="Z236" s="1767">
        <v>0</v>
      </c>
      <c r="AA236" s="1767">
        <v>0</v>
      </c>
      <c r="AB236" s="1767">
        <v>0</v>
      </c>
      <c r="AC236" s="1767">
        <v>0</v>
      </c>
      <c r="AD236" s="1767">
        <v>0</v>
      </c>
      <c r="AE236" s="1767">
        <v>0</v>
      </c>
      <c r="AF236" s="1767">
        <v>0</v>
      </c>
      <c r="AG236" s="1767">
        <v>0</v>
      </c>
      <c r="AH236" s="1767">
        <v>0</v>
      </c>
      <c r="AI236" s="1767">
        <v>0</v>
      </c>
      <c r="AJ236" s="1767">
        <v>0</v>
      </c>
      <c r="AK236" s="1767">
        <v>0</v>
      </c>
      <c r="AL236" s="1767">
        <v>0</v>
      </c>
      <c r="AM236" s="1767">
        <v>0</v>
      </c>
      <c r="AN236" s="1767">
        <v>0</v>
      </c>
      <c r="AO236" s="1767">
        <v>0</v>
      </c>
      <c r="AP236" s="1767">
        <v>0</v>
      </c>
      <c r="AQ236" s="1767">
        <v>0</v>
      </c>
      <c r="AR236" s="1767">
        <v>0</v>
      </c>
      <c r="AS236" s="1767">
        <v>0</v>
      </c>
      <c r="AT236" s="1767">
        <v>0</v>
      </c>
      <c r="AU236" s="1767">
        <v>0</v>
      </c>
      <c r="AV236" s="1767">
        <v>0</v>
      </c>
      <c r="AW236" s="1767">
        <v>0</v>
      </c>
      <c r="AX236" s="1767">
        <v>0</v>
      </c>
      <c r="AY236" s="1767">
        <v>0</v>
      </c>
      <c r="AZ236" s="1767">
        <v>0</v>
      </c>
      <c r="BA236" s="1767">
        <v>0</v>
      </c>
      <c r="BB236" s="1767">
        <v>0</v>
      </c>
      <c r="BC236" s="1767">
        <v>0</v>
      </c>
      <c r="BD236" s="1767">
        <v>0</v>
      </c>
      <c r="BE236" s="1767">
        <v>0</v>
      </c>
      <c r="BF236" s="1767">
        <v>0</v>
      </c>
      <c r="BG236" s="1767">
        <v>0</v>
      </c>
      <c r="BH236" s="1767">
        <v>0</v>
      </c>
      <c r="BI236" s="1767">
        <v>0</v>
      </c>
      <c r="BJ236" s="1767">
        <v>0</v>
      </c>
      <c r="BK236" s="1767">
        <v>0</v>
      </c>
      <c r="BL236" s="1767">
        <v>0</v>
      </c>
      <c r="BM236" s="1767">
        <v>0</v>
      </c>
      <c r="BN236" s="1767">
        <v>0</v>
      </c>
      <c r="BO236" s="1767">
        <v>0</v>
      </c>
      <c r="BP236" s="1767">
        <v>0</v>
      </c>
      <c r="BQ236" s="1767">
        <v>0</v>
      </c>
      <c r="BR236" s="1767">
        <v>0</v>
      </c>
      <c r="BS236" s="1767">
        <v>0</v>
      </c>
      <c r="BT236" s="1767">
        <v>0</v>
      </c>
      <c r="BU236" s="1767">
        <v>0</v>
      </c>
      <c r="BV236" s="1767">
        <v>0</v>
      </c>
      <c r="BW236" s="1767">
        <v>0</v>
      </c>
      <c r="BX236" s="1767">
        <v>0</v>
      </c>
      <c r="BY236" s="1767">
        <v>0</v>
      </c>
      <c r="BZ236" s="1767">
        <v>0</v>
      </c>
      <c r="CA236" s="1767">
        <v>0</v>
      </c>
      <c r="CB236" s="1767">
        <v>0</v>
      </c>
      <c r="CC236" s="1767">
        <v>0</v>
      </c>
      <c r="CD236" s="1767">
        <v>0</v>
      </c>
      <c r="CE236" s="1767">
        <v>0</v>
      </c>
      <c r="CF236" s="1767">
        <v>0</v>
      </c>
      <c r="CG236" s="1767">
        <v>0</v>
      </c>
      <c r="CH236" s="1767">
        <v>0</v>
      </c>
      <c r="CI236" s="1767">
        <v>0</v>
      </c>
      <c r="CJ236" s="1767">
        <v>0</v>
      </c>
      <c r="CK236" s="1767">
        <v>0</v>
      </c>
      <c r="CL236" s="1767">
        <v>0</v>
      </c>
      <c r="CM236" s="1767">
        <v>0</v>
      </c>
      <c r="CN236" s="1767">
        <v>0</v>
      </c>
      <c r="CO236" s="1767">
        <v>0</v>
      </c>
      <c r="CP236" s="1767">
        <v>0</v>
      </c>
    </row>
    <row r="237" spans="1:94" ht="29.25" customHeight="1" x14ac:dyDescent="0.2">
      <c r="A237" s="1847"/>
      <c r="B237" s="1856"/>
      <c r="C237" s="656" t="s">
        <v>2365</v>
      </c>
      <c r="D237" s="936"/>
      <c r="E237" s="1831"/>
      <c r="F237" s="1225"/>
      <c r="G237" s="1767">
        <v>0</v>
      </c>
      <c r="H237" s="1767">
        <v>0</v>
      </c>
      <c r="I237" s="1767">
        <v>0</v>
      </c>
      <c r="J237" s="1767">
        <v>0</v>
      </c>
      <c r="K237" s="1767">
        <v>0</v>
      </c>
      <c r="L237" s="1767">
        <v>0</v>
      </c>
      <c r="M237" s="1767">
        <v>0</v>
      </c>
      <c r="N237" s="1767">
        <v>0</v>
      </c>
      <c r="O237" s="1767">
        <v>0</v>
      </c>
      <c r="P237" s="1767">
        <v>0</v>
      </c>
      <c r="Q237" s="1767">
        <v>0</v>
      </c>
      <c r="R237" s="1767">
        <v>0</v>
      </c>
      <c r="S237" s="1767">
        <v>0</v>
      </c>
      <c r="T237" s="1767">
        <v>0</v>
      </c>
      <c r="U237" s="1767">
        <v>0</v>
      </c>
      <c r="V237" s="1767">
        <v>0</v>
      </c>
      <c r="W237" s="1767">
        <v>0</v>
      </c>
      <c r="X237" s="1767">
        <v>0</v>
      </c>
      <c r="Y237" s="1767">
        <v>0</v>
      </c>
      <c r="Z237" s="1767">
        <v>0</v>
      </c>
      <c r="AA237" s="1767">
        <v>0</v>
      </c>
      <c r="AB237" s="1767">
        <v>0</v>
      </c>
      <c r="AC237" s="1767">
        <v>0</v>
      </c>
      <c r="AD237" s="1767">
        <v>0</v>
      </c>
      <c r="AE237" s="1767">
        <v>0</v>
      </c>
      <c r="AF237" s="1767">
        <v>0</v>
      </c>
      <c r="AG237" s="1767">
        <v>0</v>
      </c>
      <c r="AH237" s="1767">
        <v>0</v>
      </c>
      <c r="AI237" s="1767">
        <v>0</v>
      </c>
      <c r="AJ237" s="1767">
        <v>0</v>
      </c>
      <c r="AK237" s="1767">
        <v>0</v>
      </c>
      <c r="AL237" s="1767">
        <v>0</v>
      </c>
      <c r="AM237" s="1767">
        <v>0</v>
      </c>
      <c r="AN237" s="1767">
        <v>0</v>
      </c>
      <c r="AO237" s="1767">
        <v>0</v>
      </c>
      <c r="AP237" s="1767">
        <v>0</v>
      </c>
      <c r="AQ237" s="1767">
        <v>0</v>
      </c>
      <c r="AR237" s="1767">
        <v>0</v>
      </c>
      <c r="AS237" s="1767">
        <v>0</v>
      </c>
      <c r="AT237" s="1767">
        <v>0</v>
      </c>
      <c r="AU237" s="1767">
        <v>0</v>
      </c>
      <c r="AV237" s="1767">
        <v>0</v>
      </c>
      <c r="AW237" s="1767">
        <v>0</v>
      </c>
      <c r="AX237" s="1767">
        <v>0</v>
      </c>
      <c r="AY237" s="1767">
        <v>0</v>
      </c>
      <c r="AZ237" s="1767">
        <v>0</v>
      </c>
      <c r="BA237" s="1767">
        <v>0</v>
      </c>
      <c r="BB237" s="1767">
        <v>0</v>
      </c>
      <c r="BC237" s="1767">
        <v>0</v>
      </c>
      <c r="BD237" s="1767">
        <v>0</v>
      </c>
      <c r="BE237" s="1767">
        <v>0</v>
      </c>
      <c r="BF237" s="1767">
        <v>0</v>
      </c>
      <c r="BG237" s="1767">
        <v>0</v>
      </c>
      <c r="BH237" s="1767">
        <v>0</v>
      </c>
      <c r="BI237" s="1767">
        <v>0</v>
      </c>
      <c r="BJ237" s="1767">
        <v>0</v>
      </c>
      <c r="BK237" s="1767">
        <v>0</v>
      </c>
      <c r="BL237" s="1767">
        <v>0</v>
      </c>
      <c r="BM237" s="1767">
        <v>0</v>
      </c>
      <c r="BN237" s="1767">
        <v>0</v>
      </c>
      <c r="BO237" s="1767">
        <v>0</v>
      </c>
      <c r="BP237" s="1767">
        <v>0</v>
      </c>
      <c r="BQ237" s="1767">
        <v>0</v>
      </c>
      <c r="BR237" s="1767">
        <v>0</v>
      </c>
      <c r="BS237" s="1767">
        <v>0</v>
      </c>
      <c r="BT237" s="1767">
        <v>0</v>
      </c>
      <c r="BU237" s="1767">
        <v>0</v>
      </c>
      <c r="BV237" s="1767">
        <v>0</v>
      </c>
      <c r="BW237" s="1767">
        <v>0</v>
      </c>
      <c r="BX237" s="1767">
        <v>0</v>
      </c>
      <c r="BY237" s="1767">
        <v>0</v>
      </c>
      <c r="BZ237" s="1767">
        <v>0</v>
      </c>
      <c r="CA237" s="1767">
        <v>0</v>
      </c>
      <c r="CB237" s="1767">
        <v>0</v>
      </c>
      <c r="CC237" s="1767">
        <v>0</v>
      </c>
      <c r="CD237" s="1767">
        <v>0</v>
      </c>
      <c r="CE237" s="1767">
        <v>0</v>
      </c>
      <c r="CF237" s="1767">
        <v>0</v>
      </c>
      <c r="CG237" s="1767">
        <v>0</v>
      </c>
      <c r="CH237" s="1767">
        <v>0</v>
      </c>
      <c r="CI237" s="1767">
        <v>0</v>
      </c>
      <c r="CJ237" s="1767">
        <v>0</v>
      </c>
      <c r="CK237" s="1767">
        <v>0</v>
      </c>
      <c r="CL237" s="1767">
        <v>0</v>
      </c>
      <c r="CM237" s="1767">
        <v>0</v>
      </c>
      <c r="CN237" s="1767">
        <v>0</v>
      </c>
      <c r="CO237" s="1767">
        <v>0</v>
      </c>
      <c r="CP237" s="1767">
        <v>0</v>
      </c>
    </row>
    <row r="238" spans="1:94" ht="28.5" customHeight="1" thickBot="1" x14ac:dyDescent="0.25">
      <c r="A238" s="1848"/>
      <c r="B238" s="1857"/>
      <c r="C238" s="654" t="s">
        <v>2366</v>
      </c>
      <c r="D238" s="936"/>
      <c r="E238" s="1832"/>
      <c r="F238" s="1225"/>
      <c r="G238" s="1767">
        <v>0</v>
      </c>
      <c r="H238" s="1767">
        <v>0</v>
      </c>
      <c r="I238" s="1767">
        <v>0</v>
      </c>
      <c r="J238" s="1767">
        <v>0</v>
      </c>
      <c r="K238" s="1767">
        <v>0</v>
      </c>
      <c r="L238" s="1767">
        <v>0</v>
      </c>
      <c r="M238" s="1767">
        <v>0</v>
      </c>
      <c r="N238" s="1767">
        <v>0</v>
      </c>
      <c r="O238" s="1767">
        <v>0</v>
      </c>
      <c r="P238" s="1767">
        <v>0</v>
      </c>
      <c r="Q238" s="1767">
        <v>0</v>
      </c>
      <c r="R238" s="1767">
        <v>0</v>
      </c>
      <c r="S238" s="1767">
        <v>0</v>
      </c>
      <c r="T238" s="1767">
        <v>0</v>
      </c>
      <c r="U238" s="1767">
        <v>0</v>
      </c>
      <c r="V238" s="1767">
        <v>0</v>
      </c>
      <c r="W238" s="1767">
        <v>0</v>
      </c>
      <c r="X238" s="1767">
        <v>0</v>
      </c>
      <c r="Y238" s="1767">
        <v>0</v>
      </c>
      <c r="Z238" s="1767">
        <v>0</v>
      </c>
      <c r="AA238" s="1767">
        <v>0</v>
      </c>
      <c r="AB238" s="1767">
        <v>0</v>
      </c>
      <c r="AC238" s="1767">
        <v>0</v>
      </c>
      <c r="AD238" s="1767">
        <v>0</v>
      </c>
      <c r="AE238" s="1767">
        <v>0</v>
      </c>
      <c r="AF238" s="1767">
        <v>0</v>
      </c>
      <c r="AG238" s="1767">
        <v>0</v>
      </c>
      <c r="AH238" s="1767">
        <v>0</v>
      </c>
      <c r="AI238" s="1767">
        <v>0</v>
      </c>
      <c r="AJ238" s="1767">
        <v>0</v>
      </c>
      <c r="AK238" s="1767">
        <v>0</v>
      </c>
      <c r="AL238" s="1767">
        <v>0</v>
      </c>
      <c r="AM238" s="1767">
        <v>0</v>
      </c>
      <c r="AN238" s="1767">
        <v>0</v>
      </c>
      <c r="AO238" s="1767">
        <v>0</v>
      </c>
      <c r="AP238" s="1767">
        <v>0</v>
      </c>
      <c r="AQ238" s="1767">
        <v>0</v>
      </c>
      <c r="AR238" s="1767">
        <v>0</v>
      </c>
      <c r="AS238" s="1767">
        <v>0</v>
      </c>
      <c r="AT238" s="1767">
        <v>0</v>
      </c>
      <c r="AU238" s="1767">
        <v>0</v>
      </c>
      <c r="AV238" s="1767">
        <v>0</v>
      </c>
      <c r="AW238" s="1767">
        <v>0</v>
      </c>
      <c r="AX238" s="1767">
        <v>0</v>
      </c>
      <c r="AY238" s="1767">
        <v>0</v>
      </c>
      <c r="AZ238" s="1767">
        <v>0</v>
      </c>
      <c r="BA238" s="1767">
        <v>0</v>
      </c>
      <c r="BB238" s="1767">
        <v>0</v>
      </c>
      <c r="BC238" s="1767">
        <v>0</v>
      </c>
      <c r="BD238" s="1767">
        <v>0</v>
      </c>
      <c r="BE238" s="1767">
        <v>0</v>
      </c>
      <c r="BF238" s="1767">
        <v>0</v>
      </c>
      <c r="BG238" s="1767">
        <v>0</v>
      </c>
      <c r="BH238" s="1767">
        <v>0</v>
      </c>
      <c r="BI238" s="1767">
        <v>0</v>
      </c>
      <c r="BJ238" s="1767">
        <v>0</v>
      </c>
      <c r="BK238" s="1767">
        <v>0</v>
      </c>
      <c r="BL238" s="1767">
        <v>0</v>
      </c>
      <c r="BM238" s="1767">
        <v>0</v>
      </c>
      <c r="BN238" s="1767">
        <v>0</v>
      </c>
      <c r="BO238" s="1767">
        <v>0</v>
      </c>
      <c r="BP238" s="1767">
        <v>0</v>
      </c>
      <c r="BQ238" s="1767">
        <v>0</v>
      </c>
      <c r="BR238" s="1767">
        <v>0</v>
      </c>
      <c r="BS238" s="1767">
        <v>0</v>
      </c>
      <c r="BT238" s="1767">
        <v>0</v>
      </c>
      <c r="BU238" s="1767">
        <v>0</v>
      </c>
      <c r="BV238" s="1767">
        <v>0</v>
      </c>
      <c r="BW238" s="1767">
        <v>0</v>
      </c>
      <c r="BX238" s="1767">
        <v>0</v>
      </c>
      <c r="BY238" s="1767">
        <v>0</v>
      </c>
      <c r="BZ238" s="1767">
        <v>0</v>
      </c>
      <c r="CA238" s="1767">
        <v>0</v>
      </c>
      <c r="CB238" s="1767">
        <v>0</v>
      </c>
      <c r="CC238" s="1767">
        <v>0</v>
      </c>
      <c r="CD238" s="1767">
        <v>0</v>
      </c>
      <c r="CE238" s="1767">
        <v>0</v>
      </c>
      <c r="CF238" s="1767">
        <v>0</v>
      </c>
      <c r="CG238" s="1767">
        <v>0</v>
      </c>
      <c r="CH238" s="1767">
        <v>0</v>
      </c>
      <c r="CI238" s="1767">
        <v>0</v>
      </c>
      <c r="CJ238" s="1767">
        <v>0</v>
      </c>
      <c r="CK238" s="1767">
        <v>0</v>
      </c>
      <c r="CL238" s="1767">
        <v>0</v>
      </c>
      <c r="CM238" s="1767">
        <v>0</v>
      </c>
      <c r="CN238" s="1767">
        <v>0</v>
      </c>
      <c r="CO238" s="1767">
        <v>0</v>
      </c>
      <c r="CP238" s="1767">
        <v>0</v>
      </c>
    </row>
    <row r="239" spans="1:94" ht="21" customHeight="1" thickBot="1" x14ac:dyDescent="0.25">
      <c r="A239" s="1849" t="s">
        <v>26</v>
      </c>
      <c r="B239" s="1846" t="s">
        <v>71</v>
      </c>
      <c r="C239" s="1777" t="s">
        <v>2535</v>
      </c>
      <c r="D239" s="947"/>
      <c r="E239" s="1843" t="s">
        <v>1831</v>
      </c>
      <c r="F239" s="1225"/>
      <c r="G239" s="1742"/>
      <c r="H239" s="1742"/>
      <c r="I239" s="1742"/>
      <c r="J239" s="1742"/>
      <c r="K239" s="1742"/>
      <c r="L239" s="1742"/>
      <c r="M239" s="1742"/>
      <c r="N239" s="1742"/>
      <c r="O239" s="1742"/>
      <c r="P239" s="1742"/>
      <c r="Q239" s="1742"/>
      <c r="R239" s="1742"/>
      <c r="S239" s="1742"/>
      <c r="T239" s="1742"/>
      <c r="U239" s="1742"/>
      <c r="V239" s="1742"/>
      <c r="W239" s="1742"/>
      <c r="X239" s="1742"/>
      <c r="Y239" s="1742"/>
      <c r="Z239" s="1742"/>
      <c r="AA239" s="1742"/>
      <c r="AB239" s="1742"/>
      <c r="AC239" s="1742"/>
      <c r="AD239" s="1742"/>
      <c r="AE239" s="1742"/>
      <c r="AF239" s="1742"/>
      <c r="AG239" s="1742"/>
      <c r="AH239" s="1742"/>
      <c r="AI239" s="1742"/>
      <c r="AJ239" s="1742"/>
      <c r="AK239" s="1742"/>
      <c r="AL239" s="1742"/>
      <c r="AM239" s="1742"/>
      <c r="AN239" s="1742"/>
      <c r="AO239" s="1742"/>
      <c r="AP239" s="1742"/>
      <c r="AQ239" s="1742"/>
      <c r="AR239" s="1742"/>
      <c r="AS239" s="1742"/>
      <c r="AT239" s="1742"/>
      <c r="AU239" s="1742"/>
      <c r="AV239" s="1742"/>
      <c r="AW239" s="1742"/>
      <c r="AX239" s="1742"/>
      <c r="AY239" s="1742"/>
      <c r="AZ239" s="1742"/>
      <c r="BA239" s="1742"/>
      <c r="BB239" s="1742"/>
      <c r="BC239" s="1742"/>
      <c r="BD239" s="1742"/>
      <c r="BE239" s="1742"/>
      <c r="BF239" s="1742"/>
      <c r="BG239" s="1742"/>
      <c r="BH239" s="1742"/>
      <c r="BI239" s="1742"/>
      <c r="BJ239" s="1742"/>
      <c r="BK239" s="1742"/>
      <c r="BL239" s="1742"/>
      <c r="BM239" s="1742"/>
      <c r="BN239" s="1742"/>
      <c r="BO239" s="1742"/>
      <c r="BP239" s="1742"/>
      <c r="BQ239" s="1742"/>
      <c r="BR239" s="1742"/>
      <c r="BS239" s="1742"/>
      <c r="BT239" s="1742"/>
      <c r="BU239" s="1742"/>
      <c r="BV239" s="1742"/>
      <c r="BW239" s="1742"/>
      <c r="BX239" s="1742"/>
      <c r="BY239" s="1742"/>
      <c r="BZ239" s="1742"/>
      <c r="CA239" s="1742"/>
      <c r="CB239" s="1742"/>
      <c r="CC239" s="1742"/>
      <c r="CD239" s="1742"/>
      <c r="CE239" s="1742"/>
      <c r="CF239" s="1742"/>
      <c r="CG239" s="1742"/>
      <c r="CH239" s="1742"/>
      <c r="CI239" s="1742"/>
      <c r="CJ239" s="1742"/>
      <c r="CK239" s="1742"/>
      <c r="CL239" s="1742"/>
      <c r="CM239" s="1742"/>
      <c r="CN239" s="1742"/>
      <c r="CO239" s="1742"/>
      <c r="CP239" s="1742"/>
    </row>
    <row r="240" spans="1:94" ht="27" customHeight="1" x14ac:dyDescent="0.2">
      <c r="A240" s="1847"/>
      <c r="B240" s="1856"/>
      <c r="C240" s="649" t="s">
        <v>632</v>
      </c>
      <c r="D240" s="936"/>
      <c r="E240" s="1844"/>
      <c r="F240" s="1225"/>
      <c r="G240" s="1767">
        <v>0</v>
      </c>
      <c r="H240" s="1767">
        <v>0</v>
      </c>
      <c r="I240" s="1767">
        <v>0</v>
      </c>
      <c r="J240" s="1767">
        <v>0</v>
      </c>
      <c r="K240" s="1767">
        <v>0</v>
      </c>
      <c r="L240" s="1767">
        <v>0</v>
      </c>
      <c r="M240" s="1767">
        <v>0</v>
      </c>
      <c r="N240" s="1767">
        <v>0</v>
      </c>
      <c r="O240" s="1767">
        <v>0</v>
      </c>
      <c r="P240" s="1767">
        <v>0</v>
      </c>
      <c r="Q240" s="1767">
        <v>0</v>
      </c>
      <c r="R240" s="1767">
        <v>0</v>
      </c>
      <c r="S240" s="1767">
        <v>0</v>
      </c>
      <c r="T240" s="1767">
        <v>0</v>
      </c>
      <c r="U240" s="1767">
        <v>0</v>
      </c>
      <c r="V240" s="1767">
        <v>0</v>
      </c>
      <c r="W240" s="1767">
        <v>0</v>
      </c>
      <c r="X240" s="1767">
        <v>0</v>
      </c>
      <c r="Y240" s="1767">
        <v>0</v>
      </c>
      <c r="Z240" s="1767">
        <v>0</v>
      </c>
      <c r="AA240" s="1767">
        <v>0</v>
      </c>
      <c r="AB240" s="1767">
        <v>0</v>
      </c>
      <c r="AC240" s="1767">
        <v>0</v>
      </c>
      <c r="AD240" s="1767">
        <v>0</v>
      </c>
      <c r="AE240" s="1767">
        <v>0</v>
      </c>
      <c r="AF240" s="1767">
        <v>0</v>
      </c>
      <c r="AG240" s="1767">
        <v>0</v>
      </c>
      <c r="AH240" s="1767">
        <v>0</v>
      </c>
      <c r="AI240" s="1767">
        <v>0</v>
      </c>
      <c r="AJ240" s="1767">
        <v>0</v>
      </c>
      <c r="AK240" s="1767">
        <v>0</v>
      </c>
      <c r="AL240" s="1767">
        <v>0</v>
      </c>
      <c r="AM240" s="1767">
        <v>0</v>
      </c>
      <c r="AN240" s="1767">
        <v>0</v>
      </c>
      <c r="AO240" s="1767">
        <v>0</v>
      </c>
      <c r="AP240" s="1767">
        <v>0</v>
      </c>
      <c r="AQ240" s="1767">
        <v>0</v>
      </c>
      <c r="AR240" s="1767">
        <v>0</v>
      </c>
      <c r="AS240" s="1767">
        <v>0</v>
      </c>
      <c r="AT240" s="1767">
        <v>0</v>
      </c>
      <c r="AU240" s="1767">
        <v>0</v>
      </c>
      <c r="AV240" s="1767">
        <v>0</v>
      </c>
      <c r="AW240" s="1767">
        <v>0</v>
      </c>
      <c r="AX240" s="1767">
        <v>0</v>
      </c>
      <c r="AY240" s="1767">
        <v>0</v>
      </c>
      <c r="AZ240" s="1767">
        <v>0</v>
      </c>
      <c r="BA240" s="1767">
        <v>0</v>
      </c>
      <c r="BB240" s="1767">
        <v>0</v>
      </c>
      <c r="BC240" s="1767">
        <v>0</v>
      </c>
      <c r="BD240" s="1767">
        <v>0</v>
      </c>
      <c r="BE240" s="1767">
        <v>0</v>
      </c>
      <c r="BF240" s="1767">
        <v>0</v>
      </c>
      <c r="BG240" s="1767">
        <v>0</v>
      </c>
      <c r="BH240" s="1767">
        <v>0</v>
      </c>
      <c r="BI240" s="1767">
        <v>0</v>
      </c>
      <c r="BJ240" s="1767">
        <v>0</v>
      </c>
      <c r="BK240" s="1767">
        <v>0</v>
      </c>
      <c r="BL240" s="1767">
        <v>0</v>
      </c>
      <c r="BM240" s="1767">
        <v>0</v>
      </c>
      <c r="BN240" s="1767">
        <v>0</v>
      </c>
      <c r="BO240" s="1767">
        <v>0</v>
      </c>
      <c r="BP240" s="1767">
        <v>0</v>
      </c>
      <c r="BQ240" s="1767">
        <v>0</v>
      </c>
      <c r="BR240" s="1767">
        <v>0</v>
      </c>
      <c r="BS240" s="1767">
        <v>0</v>
      </c>
      <c r="BT240" s="1767">
        <v>0</v>
      </c>
      <c r="BU240" s="1767">
        <v>0</v>
      </c>
      <c r="BV240" s="1767">
        <v>0</v>
      </c>
      <c r="BW240" s="1767">
        <v>0</v>
      </c>
      <c r="BX240" s="1767">
        <v>0</v>
      </c>
      <c r="BY240" s="1767">
        <v>0</v>
      </c>
      <c r="BZ240" s="1767">
        <v>0</v>
      </c>
      <c r="CA240" s="1767">
        <v>0</v>
      </c>
      <c r="CB240" s="1767">
        <v>0</v>
      </c>
      <c r="CC240" s="1767">
        <v>0</v>
      </c>
      <c r="CD240" s="1767">
        <v>0</v>
      </c>
      <c r="CE240" s="1767">
        <v>0</v>
      </c>
      <c r="CF240" s="1767">
        <v>0</v>
      </c>
      <c r="CG240" s="1767">
        <v>0</v>
      </c>
      <c r="CH240" s="1767">
        <v>0</v>
      </c>
      <c r="CI240" s="1767">
        <v>0</v>
      </c>
      <c r="CJ240" s="1767">
        <v>0</v>
      </c>
      <c r="CK240" s="1767">
        <v>0</v>
      </c>
      <c r="CL240" s="1767">
        <v>0</v>
      </c>
      <c r="CM240" s="1767">
        <v>0</v>
      </c>
      <c r="CN240" s="1767">
        <v>0</v>
      </c>
      <c r="CO240" s="1767">
        <v>0</v>
      </c>
      <c r="CP240" s="1767">
        <v>0</v>
      </c>
    </row>
    <row r="241" spans="1:94" ht="15" customHeight="1" x14ac:dyDescent="0.2">
      <c r="A241" s="1847"/>
      <c r="B241" s="1856"/>
      <c r="C241" s="851" t="s">
        <v>1706</v>
      </c>
      <c r="D241" s="936"/>
      <c r="E241" s="1844"/>
      <c r="F241" s="1225"/>
      <c r="G241" s="1767">
        <v>0</v>
      </c>
      <c r="H241" s="1767">
        <v>0</v>
      </c>
      <c r="I241" s="1767">
        <v>0</v>
      </c>
      <c r="J241" s="1767">
        <v>0</v>
      </c>
      <c r="K241" s="1767">
        <v>0</v>
      </c>
      <c r="L241" s="1767">
        <v>0</v>
      </c>
      <c r="M241" s="1767">
        <v>0</v>
      </c>
      <c r="N241" s="1767">
        <v>0</v>
      </c>
      <c r="O241" s="1767">
        <v>0</v>
      </c>
      <c r="P241" s="1767">
        <v>0</v>
      </c>
      <c r="Q241" s="1767">
        <v>0</v>
      </c>
      <c r="R241" s="1767">
        <v>0</v>
      </c>
      <c r="S241" s="1767">
        <v>0</v>
      </c>
      <c r="T241" s="1767">
        <v>0</v>
      </c>
      <c r="U241" s="1767">
        <v>0</v>
      </c>
      <c r="V241" s="1767">
        <v>0</v>
      </c>
      <c r="W241" s="1767">
        <v>0</v>
      </c>
      <c r="X241" s="1767">
        <v>0</v>
      </c>
      <c r="Y241" s="1767">
        <v>0</v>
      </c>
      <c r="Z241" s="1767">
        <v>0</v>
      </c>
      <c r="AA241" s="1767">
        <v>0</v>
      </c>
      <c r="AB241" s="1767">
        <v>0</v>
      </c>
      <c r="AC241" s="1767">
        <v>0</v>
      </c>
      <c r="AD241" s="1767">
        <v>0</v>
      </c>
      <c r="AE241" s="1767">
        <v>0</v>
      </c>
      <c r="AF241" s="1767">
        <v>0</v>
      </c>
      <c r="AG241" s="1767">
        <v>0</v>
      </c>
      <c r="AH241" s="1767">
        <v>0</v>
      </c>
      <c r="AI241" s="1767">
        <v>0</v>
      </c>
      <c r="AJ241" s="1767">
        <v>0</v>
      </c>
      <c r="AK241" s="1767">
        <v>0</v>
      </c>
      <c r="AL241" s="1767">
        <v>0</v>
      </c>
      <c r="AM241" s="1767">
        <v>0</v>
      </c>
      <c r="AN241" s="1767">
        <v>0</v>
      </c>
      <c r="AO241" s="1767">
        <v>0</v>
      </c>
      <c r="AP241" s="1767">
        <v>0</v>
      </c>
      <c r="AQ241" s="1767">
        <v>0</v>
      </c>
      <c r="AR241" s="1767">
        <v>0</v>
      </c>
      <c r="AS241" s="1767">
        <v>0</v>
      </c>
      <c r="AT241" s="1767">
        <v>0</v>
      </c>
      <c r="AU241" s="1767">
        <v>0</v>
      </c>
      <c r="AV241" s="1767">
        <v>0</v>
      </c>
      <c r="AW241" s="1767">
        <v>0</v>
      </c>
      <c r="AX241" s="1767">
        <v>0</v>
      </c>
      <c r="AY241" s="1767">
        <v>0</v>
      </c>
      <c r="AZ241" s="1767">
        <v>0</v>
      </c>
      <c r="BA241" s="1767">
        <v>0</v>
      </c>
      <c r="BB241" s="1767">
        <v>0</v>
      </c>
      <c r="BC241" s="1767">
        <v>0</v>
      </c>
      <c r="BD241" s="1767">
        <v>0</v>
      </c>
      <c r="BE241" s="1767">
        <v>0</v>
      </c>
      <c r="BF241" s="1767">
        <v>0</v>
      </c>
      <c r="BG241" s="1767">
        <v>0</v>
      </c>
      <c r="BH241" s="1767">
        <v>0</v>
      </c>
      <c r="BI241" s="1767">
        <v>0</v>
      </c>
      <c r="BJ241" s="1767">
        <v>0</v>
      </c>
      <c r="BK241" s="1767">
        <v>0</v>
      </c>
      <c r="BL241" s="1767">
        <v>0</v>
      </c>
      <c r="BM241" s="1767">
        <v>0</v>
      </c>
      <c r="BN241" s="1767">
        <v>0</v>
      </c>
      <c r="BO241" s="1767">
        <v>0</v>
      </c>
      <c r="BP241" s="1767">
        <v>0</v>
      </c>
      <c r="BQ241" s="1767">
        <v>0</v>
      </c>
      <c r="BR241" s="1767">
        <v>0</v>
      </c>
      <c r="BS241" s="1767">
        <v>0</v>
      </c>
      <c r="BT241" s="1767">
        <v>0</v>
      </c>
      <c r="BU241" s="1767">
        <v>0</v>
      </c>
      <c r="BV241" s="1767">
        <v>0</v>
      </c>
      <c r="BW241" s="1767">
        <v>0</v>
      </c>
      <c r="BX241" s="1767">
        <v>0</v>
      </c>
      <c r="BY241" s="1767">
        <v>0</v>
      </c>
      <c r="BZ241" s="1767">
        <v>0</v>
      </c>
      <c r="CA241" s="1767">
        <v>0</v>
      </c>
      <c r="CB241" s="1767">
        <v>0</v>
      </c>
      <c r="CC241" s="1767">
        <v>0</v>
      </c>
      <c r="CD241" s="1767">
        <v>0</v>
      </c>
      <c r="CE241" s="1767">
        <v>0</v>
      </c>
      <c r="CF241" s="1767">
        <v>0</v>
      </c>
      <c r="CG241" s="1767">
        <v>0</v>
      </c>
      <c r="CH241" s="1767">
        <v>0</v>
      </c>
      <c r="CI241" s="1767">
        <v>0</v>
      </c>
      <c r="CJ241" s="1767">
        <v>0</v>
      </c>
      <c r="CK241" s="1767">
        <v>0</v>
      </c>
      <c r="CL241" s="1767">
        <v>0</v>
      </c>
      <c r="CM241" s="1767">
        <v>0</v>
      </c>
      <c r="CN241" s="1767">
        <v>0</v>
      </c>
      <c r="CO241" s="1767">
        <v>0</v>
      </c>
      <c r="CP241" s="1767">
        <v>0</v>
      </c>
    </row>
    <row r="242" spans="1:94" ht="27" customHeight="1" thickBot="1" x14ac:dyDescent="0.25">
      <c r="A242" s="1847"/>
      <c r="B242" s="1856"/>
      <c r="C242" s="851" t="s">
        <v>2325</v>
      </c>
      <c r="D242" s="949"/>
      <c r="E242" s="1844"/>
      <c r="F242" s="1225"/>
      <c r="G242" s="1767">
        <v>0</v>
      </c>
      <c r="H242" s="1767">
        <v>0</v>
      </c>
      <c r="I242" s="1767">
        <v>0</v>
      </c>
      <c r="J242" s="1767">
        <v>0</v>
      </c>
      <c r="K242" s="1767">
        <v>0</v>
      </c>
      <c r="L242" s="1767">
        <v>0</v>
      </c>
      <c r="M242" s="1767">
        <v>0</v>
      </c>
      <c r="N242" s="1767">
        <v>0</v>
      </c>
      <c r="O242" s="1767">
        <v>0</v>
      </c>
      <c r="P242" s="1767">
        <v>0</v>
      </c>
      <c r="Q242" s="1767">
        <v>0</v>
      </c>
      <c r="R242" s="1767">
        <v>0</v>
      </c>
      <c r="S242" s="1767">
        <v>0</v>
      </c>
      <c r="T242" s="1767">
        <v>0</v>
      </c>
      <c r="U242" s="1767">
        <v>0</v>
      </c>
      <c r="V242" s="1767">
        <v>0</v>
      </c>
      <c r="W242" s="1767">
        <v>0</v>
      </c>
      <c r="X242" s="1767">
        <v>0</v>
      </c>
      <c r="Y242" s="1767">
        <v>0</v>
      </c>
      <c r="Z242" s="1767">
        <v>0</v>
      </c>
      <c r="AA242" s="1767">
        <v>0</v>
      </c>
      <c r="AB242" s="1767">
        <v>0</v>
      </c>
      <c r="AC242" s="1767">
        <v>0</v>
      </c>
      <c r="AD242" s="1767">
        <v>0</v>
      </c>
      <c r="AE242" s="1767">
        <v>0</v>
      </c>
      <c r="AF242" s="1767">
        <v>0</v>
      </c>
      <c r="AG242" s="1767">
        <v>0</v>
      </c>
      <c r="AH242" s="1767">
        <v>0</v>
      </c>
      <c r="AI242" s="1767">
        <v>0</v>
      </c>
      <c r="AJ242" s="1767">
        <v>0</v>
      </c>
      <c r="AK242" s="1767">
        <v>0</v>
      </c>
      <c r="AL242" s="1767">
        <v>0</v>
      </c>
      <c r="AM242" s="1767">
        <v>0</v>
      </c>
      <c r="AN242" s="1767">
        <v>0</v>
      </c>
      <c r="AO242" s="1767">
        <v>0</v>
      </c>
      <c r="AP242" s="1767">
        <v>0</v>
      </c>
      <c r="AQ242" s="1767">
        <v>0</v>
      </c>
      <c r="AR242" s="1767">
        <v>0</v>
      </c>
      <c r="AS242" s="1767">
        <v>0</v>
      </c>
      <c r="AT242" s="1767">
        <v>0</v>
      </c>
      <c r="AU242" s="1767">
        <v>0</v>
      </c>
      <c r="AV242" s="1767">
        <v>0</v>
      </c>
      <c r="AW242" s="1767">
        <v>0</v>
      </c>
      <c r="AX242" s="1767">
        <v>0</v>
      </c>
      <c r="AY242" s="1767">
        <v>0</v>
      </c>
      <c r="AZ242" s="1767">
        <v>0</v>
      </c>
      <c r="BA242" s="1767">
        <v>0</v>
      </c>
      <c r="BB242" s="1767">
        <v>0</v>
      </c>
      <c r="BC242" s="1767">
        <v>0</v>
      </c>
      <c r="BD242" s="1767">
        <v>0</v>
      </c>
      <c r="BE242" s="1767">
        <v>0</v>
      </c>
      <c r="BF242" s="1767">
        <v>0</v>
      </c>
      <c r="BG242" s="1767">
        <v>0</v>
      </c>
      <c r="BH242" s="1767">
        <v>0</v>
      </c>
      <c r="BI242" s="1767">
        <v>0</v>
      </c>
      <c r="BJ242" s="1767">
        <v>0</v>
      </c>
      <c r="BK242" s="1767">
        <v>0</v>
      </c>
      <c r="BL242" s="1767">
        <v>0</v>
      </c>
      <c r="BM242" s="1767">
        <v>0</v>
      </c>
      <c r="BN242" s="1767">
        <v>0</v>
      </c>
      <c r="BO242" s="1767">
        <v>0</v>
      </c>
      <c r="BP242" s="1767">
        <v>0</v>
      </c>
      <c r="BQ242" s="1767">
        <v>0</v>
      </c>
      <c r="BR242" s="1767">
        <v>0</v>
      </c>
      <c r="BS242" s="1767">
        <v>0</v>
      </c>
      <c r="BT242" s="1767">
        <v>0</v>
      </c>
      <c r="BU242" s="1767">
        <v>0</v>
      </c>
      <c r="BV242" s="1767">
        <v>0</v>
      </c>
      <c r="BW242" s="1767">
        <v>0</v>
      </c>
      <c r="BX242" s="1767">
        <v>0</v>
      </c>
      <c r="BY242" s="1767">
        <v>0</v>
      </c>
      <c r="BZ242" s="1767">
        <v>0</v>
      </c>
      <c r="CA242" s="1767">
        <v>0</v>
      </c>
      <c r="CB242" s="1767">
        <v>0</v>
      </c>
      <c r="CC242" s="1767">
        <v>0</v>
      </c>
      <c r="CD242" s="1767">
        <v>0</v>
      </c>
      <c r="CE242" s="1767">
        <v>0</v>
      </c>
      <c r="CF242" s="1767">
        <v>0</v>
      </c>
      <c r="CG242" s="1767">
        <v>0</v>
      </c>
      <c r="CH242" s="1767">
        <v>0</v>
      </c>
      <c r="CI242" s="1767">
        <v>0</v>
      </c>
      <c r="CJ242" s="1767">
        <v>0</v>
      </c>
      <c r="CK242" s="1767">
        <v>0</v>
      </c>
      <c r="CL242" s="1767">
        <v>0</v>
      </c>
      <c r="CM242" s="1767">
        <v>0</v>
      </c>
      <c r="CN242" s="1767">
        <v>0</v>
      </c>
      <c r="CO242" s="1767">
        <v>0</v>
      </c>
      <c r="CP242" s="1767">
        <v>0</v>
      </c>
    </row>
    <row r="243" spans="1:94" ht="21" customHeight="1" thickBot="1" x14ac:dyDescent="0.25">
      <c r="A243" s="1878" t="s">
        <v>27</v>
      </c>
      <c r="B243" s="1846" t="s">
        <v>549</v>
      </c>
      <c r="C243" s="1777" t="s">
        <v>617</v>
      </c>
      <c r="D243" s="947"/>
      <c r="E243" s="1843" t="s">
        <v>2326</v>
      </c>
      <c r="F243" s="1225"/>
      <c r="G243" s="1742"/>
      <c r="H243" s="1742"/>
      <c r="I243" s="1742"/>
      <c r="J243" s="1742"/>
      <c r="K243" s="1742"/>
      <c r="L243" s="1742"/>
      <c r="M243" s="1742"/>
      <c r="N243" s="1742"/>
      <c r="O243" s="1742"/>
      <c r="P243" s="1742"/>
      <c r="Q243" s="1742"/>
      <c r="R243" s="1742"/>
      <c r="S243" s="1742"/>
      <c r="T243" s="1742"/>
      <c r="U243" s="1742"/>
      <c r="V243" s="1742"/>
      <c r="W243" s="1742"/>
      <c r="X243" s="1742"/>
      <c r="Y243" s="1742"/>
      <c r="Z243" s="1742"/>
      <c r="AA243" s="1742"/>
      <c r="AB243" s="1742"/>
      <c r="AC243" s="1742"/>
      <c r="AD243" s="1742"/>
      <c r="AE243" s="1742"/>
      <c r="AF243" s="1742"/>
      <c r="AG243" s="1742"/>
      <c r="AH243" s="1742"/>
      <c r="AI243" s="1742"/>
      <c r="AJ243" s="1742"/>
      <c r="AK243" s="1742"/>
      <c r="AL243" s="1742"/>
      <c r="AM243" s="1742"/>
      <c r="AN243" s="1742"/>
      <c r="AO243" s="1742"/>
      <c r="AP243" s="1742"/>
      <c r="AQ243" s="1742"/>
      <c r="AR243" s="1742"/>
      <c r="AS243" s="1742"/>
      <c r="AT243" s="1742"/>
      <c r="AU243" s="1742"/>
      <c r="AV243" s="1742"/>
      <c r="AW243" s="1742"/>
      <c r="AX243" s="1742"/>
      <c r="AY243" s="1742"/>
      <c r="AZ243" s="1742"/>
      <c r="BA243" s="1742"/>
      <c r="BB243" s="1742"/>
      <c r="BC243" s="1742"/>
      <c r="BD243" s="1742"/>
      <c r="BE243" s="1742"/>
      <c r="BF243" s="1742"/>
      <c r="BG243" s="1742"/>
      <c r="BH243" s="1742"/>
      <c r="BI243" s="1742"/>
      <c r="BJ243" s="1742"/>
      <c r="BK243" s="1742"/>
      <c r="BL243" s="1742"/>
      <c r="BM243" s="1742"/>
      <c r="BN243" s="1742"/>
      <c r="BO243" s="1742"/>
      <c r="BP243" s="1742"/>
      <c r="BQ243" s="1742"/>
      <c r="BR243" s="1742"/>
      <c r="BS243" s="1742"/>
      <c r="BT243" s="1742"/>
      <c r="BU243" s="1742"/>
      <c r="BV243" s="1742"/>
      <c r="BW243" s="1742"/>
      <c r="BX243" s="1742"/>
      <c r="BY243" s="1742"/>
      <c r="BZ243" s="1742"/>
      <c r="CA243" s="1742"/>
      <c r="CB243" s="1742"/>
      <c r="CC243" s="1742"/>
      <c r="CD243" s="1742"/>
      <c r="CE243" s="1742"/>
      <c r="CF243" s="1742"/>
      <c r="CG243" s="1742"/>
      <c r="CH243" s="1742"/>
      <c r="CI243" s="1742"/>
      <c r="CJ243" s="1742"/>
      <c r="CK243" s="1742"/>
      <c r="CL243" s="1742"/>
      <c r="CM243" s="1742"/>
      <c r="CN243" s="1742"/>
      <c r="CO243" s="1742"/>
      <c r="CP243" s="1742"/>
    </row>
    <row r="244" spans="1:94" ht="42.75" customHeight="1" x14ac:dyDescent="0.2">
      <c r="A244" s="1847"/>
      <c r="B244" s="1856"/>
      <c r="C244" s="652" t="s">
        <v>2250</v>
      </c>
      <c r="D244" s="936"/>
      <c r="E244" s="1844"/>
      <c r="F244" s="1225"/>
      <c r="G244" s="1767">
        <v>0</v>
      </c>
      <c r="H244" s="1767">
        <v>0</v>
      </c>
      <c r="I244" s="1767">
        <v>0</v>
      </c>
      <c r="J244" s="1767">
        <v>0</v>
      </c>
      <c r="K244" s="1767">
        <v>0</v>
      </c>
      <c r="L244" s="1767">
        <v>0</v>
      </c>
      <c r="M244" s="1767">
        <v>0</v>
      </c>
      <c r="N244" s="1767">
        <v>0</v>
      </c>
      <c r="O244" s="1767">
        <v>0</v>
      </c>
      <c r="P244" s="1767">
        <v>0</v>
      </c>
      <c r="Q244" s="1767">
        <v>0</v>
      </c>
      <c r="R244" s="1767">
        <v>0</v>
      </c>
      <c r="S244" s="1767">
        <v>0</v>
      </c>
      <c r="T244" s="1767">
        <v>0</v>
      </c>
      <c r="U244" s="1767">
        <v>0</v>
      </c>
      <c r="V244" s="1767">
        <v>0</v>
      </c>
      <c r="W244" s="1767">
        <v>0</v>
      </c>
      <c r="X244" s="1767">
        <v>0</v>
      </c>
      <c r="Y244" s="1767">
        <v>0</v>
      </c>
      <c r="Z244" s="1767">
        <v>0</v>
      </c>
      <c r="AA244" s="1767">
        <v>0</v>
      </c>
      <c r="AB244" s="1767">
        <v>0</v>
      </c>
      <c r="AC244" s="1767">
        <v>0</v>
      </c>
      <c r="AD244" s="1767">
        <v>0</v>
      </c>
      <c r="AE244" s="1767">
        <v>0</v>
      </c>
      <c r="AF244" s="1767">
        <v>0</v>
      </c>
      <c r="AG244" s="1767">
        <v>0</v>
      </c>
      <c r="AH244" s="1767">
        <v>0</v>
      </c>
      <c r="AI244" s="1767">
        <v>0</v>
      </c>
      <c r="AJ244" s="1767">
        <v>0</v>
      </c>
      <c r="AK244" s="1767">
        <v>0</v>
      </c>
      <c r="AL244" s="1767">
        <v>0</v>
      </c>
      <c r="AM244" s="1767">
        <v>0</v>
      </c>
      <c r="AN244" s="1767">
        <v>0</v>
      </c>
      <c r="AO244" s="1767">
        <v>0</v>
      </c>
      <c r="AP244" s="1767">
        <v>0</v>
      </c>
      <c r="AQ244" s="1767">
        <v>0</v>
      </c>
      <c r="AR244" s="1767">
        <v>0</v>
      </c>
      <c r="AS244" s="1767">
        <v>0</v>
      </c>
      <c r="AT244" s="1767">
        <v>0</v>
      </c>
      <c r="AU244" s="1767">
        <v>0</v>
      </c>
      <c r="AV244" s="1767">
        <v>0</v>
      </c>
      <c r="AW244" s="1767">
        <v>0</v>
      </c>
      <c r="AX244" s="1767">
        <v>0</v>
      </c>
      <c r="AY244" s="1767">
        <v>0</v>
      </c>
      <c r="AZ244" s="1767">
        <v>0</v>
      </c>
      <c r="BA244" s="1767">
        <v>0</v>
      </c>
      <c r="BB244" s="1767">
        <v>0</v>
      </c>
      <c r="BC244" s="1767">
        <v>0</v>
      </c>
      <c r="BD244" s="1767">
        <v>0</v>
      </c>
      <c r="BE244" s="1767">
        <v>0</v>
      </c>
      <c r="BF244" s="1767">
        <v>0</v>
      </c>
      <c r="BG244" s="1767">
        <v>0</v>
      </c>
      <c r="BH244" s="1767">
        <v>0</v>
      </c>
      <c r="BI244" s="1767">
        <v>0</v>
      </c>
      <c r="BJ244" s="1767">
        <v>0</v>
      </c>
      <c r="BK244" s="1767">
        <v>0</v>
      </c>
      <c r="BL244" s="1767">
        <v>0</v>
      </c>
      <c r="BM244" s="1767">
        <v>0</v>
      </c>
      <c r="BN244" s="1767">
        <v>0</v>
      </c>
      <c r="BO244" s="1767">
        <v>0</v>
      </c>
      <c r="BP244" s="1767">
        <v>0</v>
      </c>
      <c r="BQ244" s="1767">
        <v>0</v>
      </c>
      <c r="BR244" s="1767">
        <v>0</v>
      </c>
      <c r="BS244" s="1767">
        <v>0</v>
      </c>
      <c r="BT244" s="1767">
        <v>0</v>
      </c>
      <c r="BU244" s="1767">
        <v>0</v>
      </c>
      <c r="BV244" s="1767">
        <v>0</v>
      </c>
      <c r="BW244" s="1767">
        <v>0</v>
      </c>
      <c r="BX244" s="1767">
        <v>0</v>
      </c>
      <c r="BY244" s="1767">
        <v>0</v>
      </c>
      <c r="BZ244" s="1767">
        <v>0</v>
      </c>
      <c r="CA244" s="1767">
        <v>0</v>
      </c>
      <c r="CB244" s="1767">
        <v>0</v>
      </c>
      <c r="CC244" s="1767">
        <v>0</v>
      </c>
      <c r="CD244" s="1767">
        <v>0</v>
      </c>
      <c r="CE244" s="1767">
        <v>0</v>
      </c>
      <c r="CF244" s="1767">
        <v>0</v>
      </c>
      <c r="CG244" s="1767">
        <v>0</v>
      </c>
      <c r="CH244" s="1767">
        <v>0</v>
      </c>
      <c r="CI244" s="1767">
        <v>0</v>
      </c>
      <c r="CJ244" s="1767">
        <v>0</v>
      </c>
      <c r="CK244" s="1767">
        <v>0</v>
      </c>
      <c r="CL244" s="1767">
        <v>0</v>
      </c>
      <c r="CM244" s="1767">
        <v>0</v>
      </c>
      <c r="CN244" s="1767">
        <v>0</v>
      </c>
      <c r="CO244" s="1767">
        <v>0</v>
      </c>
      <c r="CP244" s="1767">
        <v>0</v>
      </c>
    </row>
    <row r="245" spans="1:94" ht="67.5" customHeight="1" x14ac:dyDescent="0.2">
      <c r="A245" s="1847"/>
      <c r="B245" s="1856"/>
      <c r="C245" s="653" t="s">
        <v>2327</v>
      </c>
      <c r="D245" s="936"/>
      <c r="E245" s="1844"/>
      <c r="F245" s="1225"/>
      <c r="G245" s="1767">
        <v>0</v>
      </c>
      <c r="H245" s="1767">
        <v>0</v>
      </c>
      <c r="I245" s="1767">
        <v>0</v>
      </c>
      <c r="J245" s="1767">
        <v>0</v>
      </c>
      <c r="K245" s="1767">
        <v>0</v>
      </c>
      <c r="L245" s="1767">
        <v>0</v>
      </c>
      <c r="M245" s="1767">
        <v>0</v>
      </c>
      <c r="N245" s="1767">
        <v>0</v>
      </c>
      <c r="O245" s="1767">
        <v>0</v>
      </c>
      <c r="P245" s="1767">
        <v>0</v>
      </c>
      <c r="Q245" s="1767">
        <v>0</v>
      </c>
      <c r="R245" s="1767">
        <v>0</v>
      </c>
      <c r="S245" s="1767">
        <v>0</v>
      </c>
      <c r="T245" s="1767">
        <v>0</v>
      </c>
      <c r="U245" s="1767">
        <v>0</v>
      </c>
      <c r="V245" s="1767">
        <v>0</v>
      </c>
      <c r="W245" s="1767">
        <v>0</v>
      </c>
      <c r="X245" s="1767">
        <v>0</v>
      </c>
      <c r="Y245" s="1767">
        <v>0</v>
      </c>
      <c r="Z245" s="1767">
        <v>0</v>
      </c>
      <c r="AA245" s="1767">
        <v>0</v>
      </c>
      <c r="AB245" s="1767">
        <v>0</v>
      </c>
      <c r="AC245" s="1767">
        <v>0</v>
      </c>
      <c r="AD245" s="1767">
        <v>0</v>
      </c>
      <c r="AE245" s="1767">
        <v>0</v>
      </c>
      <c r="AF245" s="1767">
        <v>0</v>
      </c>
      <c r="AG245" s="1767">
        <v>0</v>
      </c>
      <c r="AH245" s="1767">
        <v>0</v>
      </c>
      <c r="AI245" s="1767">
        <v>0</v>
      </c>
      <c r="AJ245" s="1767">
        <v>0</v>
      </c>
      <c r="AK245" s="1767">
        <v>0</v>
      </c>
      <c r="AL245" s="1767">
        <v>0</v>
      </c>
      <c r="AM245" s="1767">
        <v>0</v>
      </c>
      <c r="AN245" s="1767">
        <v>0</v>
      </c>
      <c r="AO245" s="1767">
        <v>0</v>
      </c>
      <c r="AP245" s="1767">
        <v>0</v>
      </c>
      <c r="AQ245" s="1767">
        <v>0</v>
      </c>
      <c r="AR245" s="1767">
        <v>0</v>
      </c>
      <c r="AS245" s="1767">
        <v>0</v>
      </c>
      <c r="AT245" s="1767">
        <v>0</v>
      </c>
      <c r="AU245" s="1767">
        <v>0</v>
      </c>
      <c r="AV245" s="1767">
        <v>0</v>
      </c>
      <c r="AW245" s="1767">
        <v>0</v>
      </c>
      <c r="AX245" s="1767">
        <v>0</v>
      </c>
      <c r="AY245" s="1767">
        <v>0</v>
      </c>
      <c r="AZ245" s="1767">
        <v>0</v>
      </c>
      <c r="BA245" s="1767">
        <v>0</v>
      </c>
      <c r="BB245" s="1767">
        <v>0</v>
      </c>
      <c r="BC245" s="1767">
        <v>0</v>
      </c>
      <c r="BD245" s="1767">
        <v>0</v>
      </c>
      <c r="BE245" s="1767">
        <v>0</v>
      </c>
      <c r="BF245" s="1767">
        <v>0</v>
      </c>
      <c r="BG245" s="1767">
        <v>0</v>
      </c>
      <c r="BH245" s="1767">
        <v>0</v>
      </c>
      <c r="BI245" s="1767">
        <v>0</v>
      </c>
      <c r="BJ245" s="1767">
        <v>0</v>
      </c>
      <c r="BK245" s="1767">
        <v>0</v>
      </c>
      <c r="BL245" s="1767">
        <v>0</v>
      </c>
      <c r="BM245" s="1767">
        <v>0</v>
      </c>
      <c r="BN245" s="1767">
        <v>0</v>
      </c>
      <c r="BO245" s="1767">
        <v>0</v>
      </c>
      <c r="BP245" s="1767">
        <v>0</v>
      </c>
      <c r="BQ245" s="1767">
        <v>0</v>
      </c>
      <c r="BR245" s="1767">
        <v>0</v>
      </c>
      <c r="BS245" s="1767">
        <v>0</v>
      </c>
      <c r="BT245" s="1767">
        <v>0</v>
      </c>
      <c r="BU245" s="1767">
        <v>0</v>
      </c>
      <c r="BV245" s="1767">
        <v>0</v>
      </c>
      <c r="BW245" s="1767">
        <v>0</v>
      </c>
      <c r="BX245" s="1767">
        <v>0</v>
      </c>
      <c r="BY245" s="1767">
        <v>0</v>
      </c>
      <c r="BZ245" s="1767">
        <v>0</v>
      </c>
      <c r="CA245" s="1767">
        <v>0</v>
      </c>
      <c r="CB245" s="1767">
        <v>0</v>
      </c>
      <c r="CC245" s="1767">
        <v>0</v>
      </c>
      <c r="CD245" s="1767">
        <v>0</v>
      </c>
      <c r="CE245" s="1767">
        <v>0</v>
      </c>
      <c r="CF245" s="1767">
        <v>0</v>
      </c>
      <c r="CG245" s="1767">
        <v>0</v>
      </c>
      <c r="CH245" s="1767">
        <v>0</v>
      </c>
      <c r="CI245" s="1767">
        <v>0</v>
      </c>
      <c r="CJ245" s="1767">
        <v>0</v>
      </c>
      <c r="CK245" s="1767">
        <v>0</v>
      </c>
      <c r="CL245" s="1767">
        <v>0</v>
      </c>
      <c r="CM245" s="1767">
        <v>0</v>
      </c>
      <c r="CN245" s="1767">
        <v>0</v>
      </c>
      <c r="CO245" s="1767">
        <v>0</v>
      </c>
      <c r="CP245" s="1767">
        <v>0</v>
      </c>
    </row>
    <row r="246" spans="1:94" ht="26.25" thickBot="1" x14ac:dyDescent="0.25">
      <c r="A246" s="1848"/>
      <c r="B246" s="1857"/>
      <c r="C246" s="654" t="s">
        <v>604</v>
      </c>
      <c r="D246" s="950"/>
      <c r="E246" s="1845"/>
      <c r="F246" s="1225"/>
      <c r="G246" s="1767">
        <v>0</v>
      </c>
      <c r="H246" s="1767">
        <v>0</v>
      </c>
      <c r="I246" s="1767">
        <v>0</v>
      </c>
      <c r="J246" s="1767">
        <v>0</v>
      </c>
      <c r="K246" s="1767">
        <v>0</v>
      </c>
      <c r="L246" s="1767">
        <v>0</v>
      </c>
      <c r="M246" s="1767">
        <v>0</v>
      </c>
      <c r="N246" s="1767">
        <v>0</v>
      </c>
      <c r="O246" s="1767">
        <v>0</v>
      </c>
      <c r="P246" s="1767">
        <v>0</v>
      </c>
      <c r="Q246" s="1767">
        <v>0</v>
      </c>
      <c r="R246" s="1767">
        <v>0</v>
      </c>
      <c r="S246" s="1767">
        <v>0</v>
      </c>
      <c r="T246" s="1767">
        <v>0</v>
      </c>
      <c r="U246" s="1767">
        <v>0</v>
      </c>
      <c r="V246" s="1767">
        <v>0</v>
      </c>
      <c r="W246" s="1767">
        <v>0</v>
      </c>
      <c r="X246" s="1767">
        <v>0</v>
      </c>
      <c r="Y246" s="1767">
        <v>0</v>
      </c>
      <c r="Z246" s="1767">
        <v>0</v>
      </c>
      <c r="AA246" s="1767">
        <v>0</v>
      </c>
      <c r="AB246" s="1767">
        <v>0</v>
      </c>
      <c r="AC246" s="1767">
        <v>0</v>
      </c>
      <c r="AD246" s="1767">
        <v>0</v>
      </c>
      <c r="AE246" s="1767">
        <v>0</v>
      </c>
      <c r="AF246" s="1767">
        <v>0</v>
      </c>
      <c r="AG246" s="1767">
        <v>0</v>
      </c>
      <c r="AH246" s="1767">
        <v>0</v>
      </c>
      <c r="AI246" s="1767">
        <v>0</v>
      </c>
      <c r="AJ246" s="1767">
        <v>0</v>
      </c>
      <c r="AK246" s="1767">
        <v>0</v>
      </c>
      <c r="AL246" s="1767">
        <v>0</v>
      </c>
      <c r="AM246" s="1767">
        <v>0</v>
      </c>
      <c r="AN246" s="1767">
        <v>0</v>
      </c>
      <c r="AO246" s="1767">
        <v>0</v>
      </c>
      <c r="AP246" s="1767">
        <v>0</v>
      </c>
      <c r="AQ246" s="1767">
        <v>0</v>
      </c>
      <c r="AR246" s="1767">
        <v>0</v>
      </c>
      <c r="AS246" s="1767">
        <v>0</v>
      </c>
      <c r="AT246" s="1767">
        <v>0</v>
      </c>
      <c r="AU246" s="1767">
        <v>0</v>
      </c>
      <c r="AV246" s="1767">
        <v>0</v>
      </c>
      <c r="AW246" s="1767">
        <v>0</v>
      </c>
      <c r="AX246" s="1767">
        <v>0</v>
      </c>
      <c r="AY246" s="1767">
        <v>0</v>
      </c>
      <c r="AZ246" s="1767">
        <v>0</v>
      </c>
      <c r="BA246" s="1767">
        <v>0</v>
      </c>
      <c r="BB246" s="1767">
        <v>0</v>
      </c>
      <c r="BC246" s="1767">
        <v>0</v>
      </c>
      <c r="BD246" s="1767">
        <v>0</v>
      </c>
      <c r="BE246" s="1767">
        <v>0</v>
      </c>
      <c r="BF246" s="1767">
        <v>0</v>
      </c>
      <c r="BG246" s="1767">
        <v>0</v>
      </c>
      <c r="BH246" s="1767">
        <v>0</v>
      </c>
      <c r="BI246" s="1767">
        <v>0</v>
      </c>
      <c r="BJ246" s="1767">
        <v>0</v>
      </c>
      <c r="BK246" s="1767">
        <v>0</v>
      </c>
      <c r="BL246" s="1767">
        <v>0</v>
      </c>
      <c r="BM246" s="1767">
        <v>0</v>
      </c>
      <c r="BN246" s="1767">
        <v>0</v>
      </c>
      <c r="BO246" s="1767">
        <v>0</v>
      </c>
      <c r="BP246" s="1767">
        <v>0</v>
      </c>
      <c r="BQ246" s="1767">
        <v>0</v>
      </c>
      <c r="BR246" s="1767">
        <v>0</v>
      </c>
      <c r="BS246" s="1767">
        <v>0</v>
      </c>
      <c r="BT246" s="1767">
        <v>0</v>
      </c>
      <c r="BU246" s="1767">
        <v>0</v>
      </c>
      <c r="BV246" s="1767">
        <v>0</v>
      </c>
      <c r="BW246" s="1767">
        <v>0</v>
      </c>
      <c r="BX246" s="1767">
        <v>0</v>
      </c>
      <c r="BY246" s="1767">
        <v>0</v>
      </c>
      <c r="BZ246" s="1767">
        <v>0</v>
      </c>
      <c r="CA246" s="1767">
        <v>0</v>
      </c>
      <c r="CB246" s="1767">
        <v>0</v>
      </c>
      <c r="CC246" s="1767">
        <v>0</v>
      </c>
      <c r="CD246" s="1767">
        <v>0</v>
      </c>
      <c r="CE246" s="1767">
        <v>0</v>
      </c>
      <c r="CF246" s="1767">
        <v>0</v>
      </c>
      <c r="CG246" s="1767">
        <v>0</v>
      </c>
      <c r="CH246" s="1767">
        <v>0</v>
      </c>
      <c r="CI246" s="1767">
        <v>0</v>
      </c>
      <c r="CJ246" s="1767">
        <v>0</v>
      </c>
      <c r="CK246" s="1767">
        <v>0</v>
      </c>
      <c r="CL246" s="1767">
        <v>0</v>
      </c>
      <c r="CM246" s="1767">
        <v>0</v>
      </c>
      <c r="CN246" s="1767">
        <v>0</v>
      </c>
      <c r="CO246" s="1767">
        <v>0</v>
      </c>
      <c r="CP246" s="1767">
        <v>0</v>
      </c>
    </row>
    <row r="247" spans="1:94" ht="21" customHeight="1" thickBot="1" x14ac:dyDescent="0.25">
      <c r="A247" s="1846" t="s">
        <v>28</v>
      </c>
      <c r="B247" s="1846" t="s">
        <v>5</v>
      </c>
      <c r="C247" s="1777" t="s">
        <v>486</v>
      </c>
      <c r="D247" s="947"/>
      <c r="E247" s="1830" t="s">
        <v>1832</v>
      </c>
      <c r="F247" s="1225"/>
      <c r="G247" s="1742"/>
      <c r="H247" s="1742"/>
      <c r="I247" s="1742"/>
      <c r="J247" s="1742"/>
      <c r="K247" s="1742"/>
      <c r="L247" s="1742"/>
      <c r="M247" s="1742"/>
      <c r="N247" s="1742"/>
      <c r="O247" s="1742"/>
      <c r="P247" s="1742"/>
      <c r="Q247" s="1742"/>
      <c r="R247" s="1742"/>
      <c r="S247" s="1742"/>
      <c r="T247" s="1742"/>
      <c r="U247" s="1742"/>
      <c r="V247" s="1742"/>
      <c r="W247" s="1742"/>
      <c r="X247" s="1742"/>
      <c r="Y247" s="1742"/>
      <c r="Z247" s="1742"/>
      <c r="AA247" s="1742"/>
      <c r="AB247" s="1742"/>
      <c r="AC247" s="1742"/>
      <c r="AD247" s="1742"/>
      <c r="AE247" s="1742"/>
      <c r="AF247" s="1742"/>
      <c r="AG247" s="1742"/>
      <c r="AH247" s="1742"/>
      <c r="AI247" s="1742"/>
      <c r="AJ247" s="1742"/>
      <c r="AK247" s="1742"/>
      <c r="AL247" s="1742"/>
      <c r="AM247" s="1742"/>
      <c r="AN247" s="1742"/>
      <c r="AO247" s="1742"/>
      <c r="AP247" s="1742"/>
      <c r="AQ247" s="1742"/>
      <c r="AR247" s="1742"/>
      <c r="AS247" s="1742"/>
      <c r="AT247" s="1742"/>
      <c r="AU247" s="1742"/>
      <c r="AV247" s="1742"/>
      <c r="AW247" s="1742"/>
      <c r="AX247" s="1742"/>
      <c r="AY247" s="1742"/>
      <c r="AZ247" s="1742"/>
      <c r="BA247" s="1742"/>
      <c r="BB247" s="1742"/>
      <c r="BC247" s="1742"/>
      <c r="BD247" s="1742"/>
      <c r="BE247" s="1742"/>
      <c r="BF247" s="1742"/>
      <c r="BG247" s="1742"/>
      <c r="BH247" s="1742"/>
      <c r="BI247" s="1742"/>
      <c r="BJ247" s="1742"/>
      <c r="BK247" s="1742"/>
      <c r="BL247" s="1742"/>
      <c r="BM247" s="1742"/>
      <c r="BN247" s="1742"/>
      <c r="BO247" s="1742"/>
      <c r="BP247" s="1742"/>
      <c r="BQ247" s="1742"/>
      <c r="BR247" s="1742"/>
      <c r="BS247" s="1742"/>
      <c r="BT247" s="1742"/>
      <c r="BU247" s="1742"/>
      <c r="BV247" s="1742"/>
      <c r="BW247" s="1742"/>
      <c r="BX247" s="1742"/>
      <c r="BY247" s="1742"/>
      <c r="BZ247" s="1742"/>
      <c r="CA247" s="1742"/>
      <c r="CB247" s="1742"/>
      <c r="CC247" s="1742"/>
      <c r="CD247" s="1742"/>
      <c r="CE247" s="1742"/>
      <c r="CF247" s="1742"/>
      <c r="CG247" s="1742"/>
      <c r="CH247" s="1742"/>
      <c r="CI247" s="1742"/>
      <c r="CJ247" s="1742"/>
      <c r="CK247" s="1742"/>
      <c r="CL247" s="1742"/>
      <c r="CM247" s="1742"/>
      <c r="CN247" s="1742"/>
      <c r="CO247" s="1742"/>
      <c r="CP247" s="1742"/>
    </row>
    <row r="248" spans="1:94" ht="15" customHeight="1" x14ac:dyDescent="0.2">
      <c r="A248" s="1847"/>
      <c r="B248" s="1856"/>
      <c r="C248" s="653" t="s">
        <v>605</v>
      </c>
      <c r="D248" s="936"/>
      <c r="E248" s="1831"/>
      <c r="F248" s="1225"/>
      <c r="G248" s="1767">
        <v>0</v>
      </c>
      <c r="H248" s="1767">
        <v>0</v>
      </c>
      <c r="I248" s="1767">
        <v>0</v>
      </c>
      <c r="J248" s="1767">
        <v>0</v>
      </c>
      <c r="K248" s="1767">
        <v>0</v>
      </c>
      <c r="L248" s="1767">
        <v>0</v>
      </c>
      <c r="M248" s="1767">
        <v>0</v>
      </c>
      <c r="N248" s="1767">
        <v>0</v>
      </c>
      <c r="O248" s="1767">
        <v>0</v>
      </c>
      <c r="P248" s="1767">
        <v>0</v>
      </c>
      <c r="Q248" s="1767">
        <v>0</v>
      </c>
      <c r="R248" s="1767">
        <v>0</v>
      </c>
      <c r="S248" s="1767">
        <v>0</v>
      </c>
      <c r="T248" s="1767">
        <v>0</v>
      </c>
      <c r="U248" s="1767">
        <v>0</v>
      </c>
      <c r="V248" s="1767">
        <v>0</v>
      </c>
      <c r="W248" s="1767">
        <v>0</v>
      </c>
      <c r="X248" s="1767">
        <v>0</v>
      </c>
      <c r="Y248" s="1767">
        <v>0</v>
      </c>
      <c r="Z248" s="1767">
        <v>0</v>
      </c>
      <c r="AA248" s="1767">
        <v>0</v>
      </c>
      <c r="AB248" s="1767">
        <v>0</v>
      </c>
      <c r="AC248" s="1767">
        <v>0</v>
      </c>
      <c r="AD248" s="1767">
        <v>0</v>
      </c>
      <c r="AE248" s="1767">
        <v>0</v>
      </c>
      <c r="AF248" s="1767">
        <v>0</v>
      </c>
      <c r="AG248" s="1767">
        <v>0</v>
      </c>
      <c r="AH248" s="1767">
        <v>0</v>
      </c>
      <c r="AI248" s="1767">
        <v>0</v>
      </c>
      <c r="AJ248" s="1767">
        <v>0</v>
      </c>
      <c r="AK248" s="1767">
        <v>0</v>
      </c>
      <c r="AL248" s="1767">
        <v>0</v>
      </c>
      <c r="AM248" s="1767">
        <v>0</v>
      </c>
      <c r="AN248" s="1767">
        <v>0</v>
      </c>
      <c r="AO248" s="1767">
        <v>0</v>
      </c>
      <c r="AP248" s="1767">
        <v>0</v>
      </c>
      <c r="AQ248" s="1767">
        <v>0</v>
      </c>
      <c r="AR248" s="1767">
        <v>0</v>
      </c>
      <c r="AS248" s="1767">
        <v>0</v>
      </c>
      <c r="AT248" s="1767">
        <v>0</v>
      </c>
      <c r="AU248" s="1767">
        <v>0</v>
      </c>
      <c r="AV248" s="1767">
        <v>0</v>
      </c>
      <c r="AW248" s="1767">
        <v>0</v>
      </c>
      <c r="AX248" s="1767">
        <v>0</v>
      </c>
      <c r="AY248" s="1767">
        <v>0</v>
      </c>
      <c r="AZ248" s="1767">
        <v>0</v>
      </c>
      <c r="BA248" s="1767">
        <v>0</v>
      </c>
      <c r="BB248" s="1767">
        <v>0</v>
      </c>
      <c r="BC248" s="1767">
        <v>0</v>
      </c>
      <c r="BD248" s="1767">
        <v>0</v>
      </c>
      <c r="BE248" s="1767">
        <v>0</v>
      </c>
      <c r="BF248" s="1767">
        <v>0</v>
      </c>
      <c r="BG248" s="1767">
        <v>0</v>
      </c>
      <c r="BH248" s="1767">
        <v>0</v>
      </c>
      <c r="BI248" s="1767">
        <v>0</v>
      </c>
      <c r="BJ248" s="1767">
        <v>0</v>
      </c>
      <c r="BK248" s="1767">
        <v>0</v>
      </c>
      <c r="BL248" s="1767">
        <v>0</v>
      </c>
      <c r="BM248" s="1767">
        <v>0</v>
      </c>
      <c r="BN248" s="1767">
        <v>0</v>
      </c>
      <c r="BO248" s="1767">
        <v>0</v>
      </c>
      <c r="BP248" s="1767">
        <v>0</v>
      </c>
      <c r="BQ248" s="1767">
        <v>0</v>
      </c>
      <c r="BR248" s="1767">
        <v>0</v>
      </c>
      <c r="BS248" s="1767">
        <v>0</v>
      </c>
      <c r="BT248" s="1767">
        <v>0</v>
      </c>
      <c r="BU248" s="1767">
        <v>0</v>
      </c>
      <c r="BV248" s="1767">
        <v>0</v>
      </c>
      <c r="BW248" s="1767">
        <v>0</v>
      </c>
      <c r="BX248" s="1767">
        <v>0</v>
      </c>
      <c r="BY248" s="1767">
        <v>0</v>
      </c>
      <c r="BZ248" s="1767">
        <v>0</v>
      </c>
      <c r="CA248" s="1767">
        <v>0</v>
      </c>
      <c r="CB248" s="1767">
        <v>0</v>
      </c>
      <c r="CC248" s="1767">
        <v>0</v>
      </c>
      <c r="CD248" s="1767">
        <v>0</v>
      </c>
      <c r="CE248" s="1767">
        <v>0</v>
      </c>
      <c r="CF248" s="1767">
        <v>0</v>
      </c>
      <c r="CG248" s="1767">
        <v>0</v>
      </c>
      <c r="CH248" s="1767">
        <v>0</v>
      </c>
      <c r="CI248" s="1767">
        <v>0</v>
      </c>
      <c r="CJ248" s="1767">
        <v>0</v>
      </c>
      <c r="CK248" s="1767">
        <v>0</v>
      </c>
      <c r="CL248" s="1767">
        <v>0</v>
      </c>
      <c r="CM248" s="1767">
        <v>0</v>
      </c>
      <c r="CN248" s="1767">
        <v>0</v>
      </c>
      <c r="CO248" s="1767">
        <v>0</v>
      </c>
      <c r="CP248" s="1767">
        <v>0</v>
      </c>
    </row>
    <row r="249" spans="1:94" ht="15" customHeight="1" x14ac:dyDescent="0.2">
      <c r="A249" s="1847"/>
      <c r="B249" s="1856"/>
      <c r="C249" s="658" t="s">
        <v>247</v>
      </c>
      <c r="D249" s="936"/>
      <c r="E249" s="1831"/>
      <c r="F249" s="1225"/>
      <c r="G249" s="1767">
        <v>0</v>
      </c>
      <c r="H249" s="1767">
        <v>0</v>
      </c>
      <c r="I249" s="1767">
        <v>0</v>
      </c>
      <c r="J249" s="1767">
        <v>0</v>
      </c>
      <c r="K249" s="1767">
        <v>0</v>
      </c>
      <c r="L249" s="1767">
        <v>0</v>
      </c>
      <c r="M249" s="1767">
        <v>0</v>
      </c>
      <c r="N249" s="1767">
        <v>0</v>
      </c>
      <c r="O249" s="1767">
        <v>0</v>
      </c>
      <c r="P249" s="1767">
        <v>0</v>
      </c>
      <c r="Q249" s="1767">
        <v>0</v>
      </c>
      <c r="R249" s="1767">
        <v>0</v>
      </c>
      <c r="S249" s="1767">
        <v>0</v>
      </c>
      <c r="T249" s="1767">
        <v>0</v>
      </c>
      <c r="U249" s="1767">
        <v>0</v>
      </c>
      <c r="V249" s="1767">
        <v>0</v>
      </c>
      <c r="W249" s="1767">
        <v>0</v>
      </c>
      <c r="X249" s="1767">
        <v>0</v>
      </c>
      <c r="Y249" s="1767">
        <v>0</v>
      </c>
      <c r="Z249" s="1767">
        <v>0</v>
      </c>
      <c r="AA249" s="1767">
        <v>0</v>
      </c>
      <c r="AB249" s="1767">
        <v>0</v>
      </c>
      <c r="AC249" s="1767">
        <v>0</v>
      </c>
      <c r="AD249" s="1767">
        <v>0</v>
      </c>
      <c r="AE249" s="1767">
        <v>0</v>
      </c>
      <c r="AF249" s="1767">
        <v>0</v>
      </c>
      <c r="AG249" s="1767">
        <v>0</v>
      </c>
      <c r="AH249" s="1767">
        <v>0</v>
      </c>
      <c r="AI249" s="1767">
        <v>0</v>
      </c>
      <c r="AJ249" s="1767">
        <v>0</v>
      </c>
      <c r="AK249" s="1767">
        <v>0</v>
      </c>
      <c r="AL249" s="1767">
        <v>0</v>
      </c>
      <c r="AM249" s="1767">
        <v>0</v>
      </c>
      <c r="AN249" s="1767">
        <v>0</v>
      </c>
      <c r="AO249" s="1767">
        <v>0</v>
      </c>
      <c r="AP249" s="1767">
        <v>0</v>
      </c>
      <c r="AQ249" s="1767">
        <v>0</v>
      </c>
      <c r="AR249" s="1767">
        <v>0</v>
      </c>
      <c r="AS249" s="1767">
        <v>0</v>
      </c>
      <c r="AT249" s="1767">
        <v>0</v>
      </c>
      <c r="AU249" s="1767">
        <v>0</v>
      </c>
      <c r="AV249" s="1767">
        <v>0</v>
      </c>
      <c r="AW249" s="1767">
        <v>0</v>
      </c>
      <c r="AX249" s="1767">
        <v>0</v>
      </c>
      <c r="AY249" s="1767">
        <v>0</v>
      </c>
      <c r="AZ249" s="1767">
        <v>0</v>
      </c>
      <c r="BA249" s="1767">
        <v>0</v>
      </c>
      <c r="BB249" s="1767">
        <v>0</v>
      </c>
      <c r="BC249" s="1767">
        <v>0</v>
      </c>
      <c r="BD249" s="1767">
        <v>0</v>
      </c>
      <c r="BE249" s="1767">
        <v>0</v>
      </c>
      <c r="BF249" s="1767">
        <v>0</v>
      </c>
      <c r="BG249" s="1767">
        <v>0</v>
      </c>
      <c r="BH249" s="1767">
        <v>0</v>
      </c>
      <c r="BI249" s="1767">
        <v>0</v>
      </c>
      <c r="BJ249" s="1767">
        <v>0</v>
      </c>
      <c r="BK249" s="1767">
        <v>0</v>
      </c>
      <c r="BL249" s="1767">
        <v>0</v>
      </c>
      <c r="BM249" s="1767">
        <v>0</v>
      </c>
      <c r="BN249" s="1767">
        <v>0</v>
      </c>
      <c r="BO249" s="1767">
        <v>0</v>
      </c>
      <c r="BP249" s="1767">
        <v>0</v>
      </c>
      <c r="BQ249" s="1767">
        <v>0</v>
      </c>
      <c r="BR249" s="1767">
        <v>0</v>
      </c>
      <c r="BS249" s="1767">
        <v>0</v>
      </c>
      <c r="BT249" s="1767">
        <v>0</v>
      </c>
      <c r="BU249" s="1767">
        <v>0</v>
      </c>
      <c r="BV249" s="1767">
        <v>0</v>
      </c>
      <c r="BW249" s="1767">
        <v>0</v>
      </c>
      <c r="BX249" s="1767">
        <v>0</v>
      </c>
      <c r="BY249" s="1767">
        <v>0</v>
      </c>
      <c r="BZ249" s="1767">
        <v>0</v>
      </c>
      <c r="CA249" s="1767">
        <v>0</v>
      </c>
      <c r="CB249" s="1767">
        <v>0</v>
      </c>
      <c r="CC249" s="1767">
        <v>0</v>
      </c>
      <c r="CD249" s="1767">
        <v>0</v>
      </c>
      <c r="CE249" s="1767">
        <v>0</v>
      </c>
      <c r="CF249" s="1767">
        <v>0</v>
      </c>
      <c r="CG249" s="1767">
        <v>0</v>
      </c>
      <c r="CH249" s="1767">
        <v>0</v>
      </c>
      <c r="CI249" s="1767">
        <v>0</v>
      </c>
      <c r="CJ249" s="1767">
        <v>0</v>
      </c>
      <c r="CK249" s="1767">
        <v>0</v>
      </c>
      <c r="CL249" s="1767">
        <v>0</v>
      </c>
      <c r="CM249" s="1767">
        <v>0</v>
      </c>
      <c r="CN249" s="1767">
        <v>0</v>
      </c>
      <c r="CO249" s="1767">
        <v>0</v>
      </c>
      <c r="CP249" s="1767">
        <v>0</v>
      </c>
    </row>
    <row r="250" spans="1:94" ht="15" customHeight="1" x14ac:dyDescent="0.2">
      <c r="A250" s="1847"/>
      <c r="B250" s="1856"/>
      <c r="C250" s="653" t="s">
        <v>55</v>
      </c>
      <c r="D250" s="936"/>
      <c r="E250" s="1831"/>
      <c r="F250" s="1225"/>
      <c r="G250" s="1767">
        <v>0</v>
      </c>
      <c r="H250" s="1767">
        <v>0</v>
      </c>
      <c r="I250" s="1767">
        <v>0</v>
      </c>
      <c r="J250" s="1767">
        <v>0</v>
      </c>
      <c r="K250" s="1767">
        <v>0</v>
      </c>
      <c r="L250" s="1767">
        <v>0</v>
      </c>
      <c r="M250" s="1767">
        <v>0</v>
      </c>
      <c r="N250" s="1767">
        <v>0</v>
      </c>
      <c r="O250" s="1767">
        <v>0</v>
      </c>
      <c r="P250" s="1767">
        <v>0</v>
      </c>
      <c r="Q250" s="1767">
        <v>0</v>
      </c>
      <c r="R250" s="1767">
        <v>0</v>
      </c>
      <c r="S250" s="1767">
        <v>0</v>
      </c>
      <c r="T250" s="1767">
        <v>0</v>
      </c>
      <c r="U250" s="1767">
        <v>0</v>
      </c>
      <c r="V250" s="1767">
        <v>0</v>
      </c>
      <c r="W250" s="1767">
        <v>0</v>
      </c>
      <c r="X250" s="1767">
        <v>0</v>
      </c>
      <c r="Y250" s="1767">
        <v>0</v>
      </c>
      <c r="Z250" s="1767">
        <v>0</v>
      </c>
      <c r="AA250" s="1767">
        <v>0</v>
      </c>
      <c r="AB250" s="1767">
        <v>0</v>
      </c>
      <c r="AC250" s="1767">
        <v>0</v>
      </c>
      <c r="AD250" s="1767">
        <v>0</v>
      </c>
      <c r="AE250" s="1767">
        <v>0</v>
      </c>
      <c r="AF250" s="1767">
        <v>0</v>
      </c>
      <c r="AG250" s="1767">
        <v>0</v>
      </c>
      <c r="AH250" s="1767">
        <v>0</v>
      </c>
      <c r="AI250" s="1767">
        <v>0</v>
      </c>
      <c r="AJ250" s="1767">
        <v>0</v>
      </c>
      <c r="AK250" s="1767">
        <v>0</v>
      </c>
      <c r="AL250" s="1767">
        <v>0</v>
      </c>
      <c r="AM250" s="1767">
        <v>0</v>
      </c>
      <c r="AN250" s="1767">
        <v>0</v>
      </c>
      <c r="AO250" s="1767">
        <v>0</v>
      </c>
      <c r="AP250" s="1767">
        <v>0</v>
      </c>
      <c r="AQ250" s="1767">
        <v>0</v>
      </c>
      <c r="AR250" s="1767">
        <v>0</v>
      </c>
      <c r="AS250" s="1767">
        <v>0</v>
      </c>
      <c r="AT250" s="1767">
        <v>0</v>
      </c>
      <c r="AU250" s="1767">
        <v>0</v>
      </c>
      <c r="AV250" s="1767">
        <v>0</v>
      </c>
      <c r="AW250" s="1767">
        <v>0</v>
      </c>
      <c r="AX250" s="1767">
        <v>0</v>
      </c>
      <c r="AY250" s="1767">
        <v>0</v>
      </c>
      <c r="AZ250" s="1767">
        <v>0</v>
      </c>
      <c r="BA250" s="1767">
        <v>0</v>
      </c>
      <c r="BB250" s="1767">
        <v>0</v>
      </c>
      <c r="BC250" s="1767">
        <v>0</v>
      </c>
      <c r="BD250" s="1767">
        <v>0</v>
      </c>
      <c r="BE250" s="1767">
        <v>0</v>
      </c>
      <c r="BF250" s="1767">
        <v>0</v>
      </c>
      <c r="BG250" s="1767">
        <v>0</v>
      </c>
      <c r="BH250" s="1767">
        <v>0</v>
      </c>
      <c r="BI250" s="1767">
        <v>0</v>
      </c>
      <c r="BJ250" s="1767">
        <v>0</v>
      </c>
      <c r="BK250" s="1767">
        <v>0</v>
      </c>
      <c r="BL250" s="1767">
        <v>0</v>
      </c>
      <c r="BM250" s="1767">
        <v>0</v>
      </c>
      <c r="BN250" s="1767">
        <v>0</v>
      </c>
      <c r="BO250" s="1767">
        <v>0</v>
      </c>
      <c r="BP250" s="1767">
        <v>0</v>
      </c>
      <c r="BQ250" s="1767">
        <v>0</v>
      </c>
      <c r="BR250" s="1767">
        <v>0</v>
      </c>
      <c r="BS250" s="1767">
        <v>0</v>
      </c>
      <c r="BT250" s="1767">
        <v>0</v>
      </c>
      <c r="BU250" s="1767">
        <v>0</v>
      </c>
      <c r="BV250" s="1767">
        <v>0</v>
      </c>
      <c r="BW250" s="1767">
        <v>0</v>
      </c>
      <c r="BX250" s="1767">
        <v>0</v>
      </c>
      <c r="BY250" s="1767">
        <v>0</v>
      </c>
      <c r="BZ250" s="1767">
        <v>0</v>
      </c>
      <c r="CA250" s="1767">
        <v>0</v>
      </c>
      <c r="CB250" s="1767">
        <v>0</v>
      </c>
      <c r="CC250" s="1767">
        <v>0</v>
      </c>
      <c r="CD250" s="1767">
        <v>0</v>
      </c>
      <c r="CE250" s="1767">
        <v>0</v>
      </c>
      <c r="CF250" s="1767">
        <v>0</v>
      </c>
      <c r="CG250" s="1767">
        <v>0</v>
      </c>
      <c r="CH250" s="1767">
        <v>0</v>
      </c>
      <c r="CI250" s="1767">
        <v>0</v>
      </c>
      <c r="CJ250" s="1767">
        <v>0</v>
      </c>
      <c r="CK250" s="1767">
        <v>0</v>
      </c>
      <c r="CL250" s="1767">
        <v>0</v>
      </c>
      <c r="CM250" s="1767">
        <v>0</v>
      </c>
      <c r="CN250" s="1767">
        <v>0</v>
      </c>
      <c r="CO250" s="1767">
        <v>0</v>
      </c>
      <c r="CP250" s="1767">
        <v>0</v>
      </c>
    </row>
    <row r="251" spans="1:94" ht="15" customHeight="1" thickBot="1" x14ac:dyDescent="0.25">
      <c r="A251" s="1848"/>
      <c r="B251" s="1857"/>
      <c r="C251" s="654" t="s">
        <v>54</v>
      </c>
      <c r="D251" s="936"/>
      <c r="E251" s="1832"/>
      <c r="F251" s="1225"/>
      <c r="G251" s="1767">
        <v>0</v>
      </c>
      <c r="H251" s="1767">
        <v>0</v>
      </c>
      <c r="I251" s="1767">
        <v>0</v>
      </c>
      <c r="J251" s="1767">
        <v>0</v>
      </c>
      <c r="K251" s="1767">
        <v>0</v>
      </c>
      <c r="L251" s="1767">
        <v>0</v>
      </c>
      <c r="M251" s="1767">
        <v>0</v>
      </c>
      <c r="N251" s="1767">
        <v>0</v>
      </c>
      <c r="O251" s="1767">
        <v>0</v>
      </c>
      <c r="P251" s="1767">
        <v>0</v>
      </c>
      <c r="Q251" s="1767">
        <v>0</v>
      </c>
      <c r="R251" s="1767">
        <v>0</v>
      </c>
      <c r="S251" s="1767">
        <v>0</v>
      </c>
      <c r="T251" s="1767">
        <v>0</v>
      </c>
      <c r="U251" s="1767">
        <v>0</v>
      </c>
      <c r="V251" s="1767">
        <v>0</v>
      </c>
      <c r="W251" s="1767">
        <v>0</v>
      </c>
      <c r="X251" s="1767">
        <v>0</v>
      </c>
      <c r="Y251" s="1767">
        <v>0</v>
      </c>
      <c r="Z251" s="1767">
        <v>0</v>
      </c>
      <c r="AA251" s="1767">
        <v>0</v>
      </c>
      <c r="AB251" s="1767">
        <v>0</v>
      </c>
      <c r="AC251" s="1767">
        <v>0</v>
      </c>
      <c r="AD251" s="1767">
        <v>0</v>
      </c>
      <c r="AE251" s="1767">
        <v>0</v>
      </c>
      <c r="AF251" s="1767">
        <v>0</v>
      </c>
      <c r="AG251" s="1767">
        <v>0</v>
      </c>
      <c r="AH251" s="1767">
        <v>0</v>
      </c>
      <c r="AI251" s="1767">
        <v>0</v>
      </c>
      <c r="AJ251" s="1767">
        <v>0</v>
      </c>
      <c r="AK251" s="1767">
        <v>0</v>
      </c>
      <c r="AL251" s="1767">
        <v>0</v>
      </c>
      <c r="AM251" s="1767">
        <v>0</v>
      </c>
      <c r="AN251" s="1767">
        <v>0</v>
      </c>
      <c r="AO251" s="1767">
        <v>0</v>
      </c>
      <c r="AP251" s="1767">
        <v>0</v>
      </c>
      <c r="AQ251" s="1767">
        <v>0</v>
      </c>
      <c r="AR251" s="1767">
        <v>0</v>
      </c>
      <c r="AS251" s="1767">
        <v>0</v>
      </c>
      <c r="AT251" s="1767">
        <v>0</v>
      </c>
      <c r="AU251" s="1767">
        <v>0</v>
      </c>
      <c r="AV251" s="1767">
        <v>0</v>
      </c>
      <c r="AW251" s="1767">
        <v>0</v>
      </c>
      <c r="AX251" s="1767">
        <v>0</v>
      </c>
      <c r="AY251" s="1767">
        <v>0</v>
      </c>
      <c r="AZ251" s="1767">
        <v>0</v>
      </c>
      <c r="BA251" s="1767">
        <v>0</v>
      </c>
      <c r="BB251" s="1767">
        <v>0</v>
      </c>
      <c r="BC251" s="1767">
        <v>0</v>
      </c>
      <c r="BD251" s="1767">
        <v>0</v>
      </c>
      <c r="BE251" s="1767">
        <v>0</v>
      </c>
      <c r="BF251" s="1767">
        <v>0</v>
      </c>
      <c r="BG251" s="1767">
        <v>0</v>
      </c>
      <c r="BH251" s="1767">
        <v>0</v>
      </c>
      <c r="BI251" s="1767">
        <v>0</v>
      </c>
      <c r="BJ251" s="1767">
        <v>0</v>
      </c>
      <c r="BK251" s="1767">
        <v>0</v>
      </c>
      <c r="BL251" s="1767">
        <v>0</v>
      </c>
      <c r="BM251" s="1767">
        <v>0</v>
      </c>
      <c r="BN251" s="1767">
        <v>0</v>
      </c>
      <c r="BO251" s="1767">
        <v>0</v>
      </c>
      <c r="BP251" s="1767">
        <v>0</v>
      </c>
      <c r="BQ251" s="1767">
        <v>0</v>
      </c>
      <c r="BR251" s="1767">
        <v>0</v>
      </c>
      <c r="BS251" s="1767">
        <v>0</v>
      </c>
      <c r="BT251" s="1767">
        <v>0</v>
      </c>
      <c r="BU251" s="1767">
        <v>0</v>
      </c>
      <c r="BV251" s="1767">
        <v>0</v>
      </c>
      <c r="BW251" s="1767">
        <v>0</v>
      </c>
      <c r="BX251" s="1767">
        <v>0</v>
      </c>
      <c r="BY251" s="1767">
        <v>0</v>
      </c>
      <c r="BZ251" s="1767">
        <v>0</v>
      </c>
      <c r="CA251" s="1767">
        <v>0</v>
      </c>
      <c r="CB251" s="1767">
        <v>0</v>
      </c>
      <c r="CC251" s="1767">
        <v>0</v>
      </c>
      <c r="CD251" s="1767">
        <v>0</v>
      </c>
      <c r="CE251" s="1767">
        <v>0</v>
      </c>
      <c r="CF251" s="1767">
        <v>0</v>
      </c>
      <c r="CG251" s="1767">
        <v>0</v>
      </c>
      <c r="CH251" s="1767">
        <v>0</v>
      </c>
      <c r="CI251" s="1767">
        <v>0</v>
      </c>
      <c r="CJ251" s="1767">
        <v>0</v>
      </c>
      <c r="CK251" s="1767">
        <v>0</v>
      </c>
      <c r="CL251" s="1767">
        <v>0</v>
      </c>
      <c r="CM251" s="1767">
        <v>0</v>
      </c>
      <c r="CN251" s="1767">
        <v>0</v>
      </c>
      <c r="CO251" s="1767">
        <v>0</v>
      </c>
      <c r="CP251" s="1767">
        <v>0</v>
      </c>
    </row>
    <row r="252" spans="1:94" ht="30" customHeight="1" thickBot="1" x14ac:dyDescent="0.25">
      <c r="A252" s="1846" t="s">
        <v>238</v>
      </c>
      <c r="B252" s="1846" t="s">
        <v>2251</v>
      </c>
      <c r="C252" s="1786" t="s">
        <v>2536</v>
      </c>
      <c r="D252" s="947"/>
      <c r="E252" s="1873" t="s">
        <v>2328</v>
      </c>
      <c r="F252" s="1225"/>
      <c r="G252" s="1742"/>
      <c r="H252" s="1742"/>
      <c r="I252" s="1742"/>
      <c r="J252" s="1742"/>
      <c r="K252" s="1742"/>
      <c r="L252" s="1742"/>
      <c r="M252" s="1742"/>
      <c r="N252" s="1742"/>
      <c r="O252" s="1742"/>
      <c r="P252" s="1742"/>
      <c r="Q252" s="1742"/>
      <c r="R252" s="1742"/>
      <c r="S252" s="1742"/>
      <c r="T252" s="1742"/>
      <c r="U252" s="1742"/>
      <c r="V252" s="1742"/>
      <c r="W252" s="1742"/>
      <c r="X252" s="1742"/>
      <c r="Y252" s="1742"/>
      <c r="Z252" s="1742"/>
      <c r="AA252" s="1742"/>
      <c r="AB252" s="1742"/>
      <c r="AC252" s="1742"/>
      <c r="AD252" s="1742"/>
      <c r="AE252" s="1742"/>
      <c r="AF252" s="1742"/>
      <c r="AG252" s="1742"/>
      <c r="AH252" s="1742"/>
      <c r="AI252" s="1742"/>
      <c r="AJ252" s="1742"/>
      <c r="AK252" s="1742"/>
      <c r="AL252" s="1742"/>
      <c r="AM252" s="1742"/>
      <c r="AN252" s="1742"/>
      <c r="AO252" s="1742"/>
      <c r="AP252" s="1742"/>
      <c r="AQ252" s="1742"/>
      <c r="AR252" s="1742"/>
      <c r="AS252" s="1742"/>
      <c r="AT252" s="1742"/>
      <c r="AU252" s="1742"/>
      <c r="AV252" s="1742"/>
      <c r="AW252" s="1742"/>
      <c r="AX252" s="1742"/>
      <c r="AY252" s="1742"/>
      <c r="AZ252" s="1742"/>
      <c r="BA252" s="1742"/>
      <c r="BB252" s="1742"/>
      <c r="BC252" s="1742"/>
      <c r="BD252" s="1742"/>
      <c r="BE252" s="1742"/>
      <c r="BF252" s="1742"/>
      <c r="BG252" s="1742"/>
      <c r="BH252" s="1742"/>
      <c r="BI252" s="1742"/>
      <c r="BJ252" s="1742"/>
      <c r="BK252" s="1742"/>
      <c r="BL252" s="1742"/>
      <c r="BM252" s="1742"/>
      <c r="BN252" s="1742"/>
      <c r="BO252" s="1742"/>
      <c r="BP252" s="1742"/>
      <c r="BQ252" s="1742"/>
      <c r="BR252" s="1742"/>
      <c r="BS252" s="1742"/>
      <c r="BT252" s="1742"/>
      <c r="BU252" s="1742"/>
      <c r="BV252" s="1742"/>
      <c r="BW252" s="1742"/>
      <c r="BX252" s="1742"/>
      <c r="BY252" s="1742"/>
      <c r="BZ252" s="1742"/>
      <c r="CA252" s="1742"/>
      <c r="CB252" s="1742"/>
      <c r="CC252" s="1742"/>
      <c r="CD252" s="1742"/>
      <c r="CE252" s="1742"/>
      <c r="CF252" s="1742"/>
      <c r="CG252" s="1742"/>
      <c r="CH252" s="1742"/>
      <c r="CI252" s="1742"/>
      <c r="CJ252" s="1742"/>
      <c r="CK252" s="1742"/>
      <c r="CL252" s="1742"/>
      <c r="CM252" s="1742"/>
      <c r="CN252" s="1742"/>
      <c r="CO252" s="1742"/>
      <c r="CP252" s="1742"/>
    </row>
    <row r="253" spans="1:94" ht="15" customHeight="1" x14ac:dyDescent="0.2">
      <c r="A253" s="1847"/>
      <c r="B253" s="1856"/>
      <c r="C253" s="661" t="s">
        <v>56</v>
      </c>
      <c r="D253" s="936"/>
      <c r="E253" s="1874"/>
      <c r="F253" s="1225"/>
      <c r="G253" s="1767">
        <v>0</v>
      </c>
      <c r="H253" s="1767">
        <v>0</v>
      </c>
      <c r="I253" s="1767">
        <v>0</v>
      </c>
      <c r="J253" s="1767">
        <v>0</v>
      </c>
      <c r="K253" s="1767">
        <v>0</v>
      </c>
      <c r="L253" s="1767">
        <v>0</v>
      </c>
      <c r="M253" s="1767">
        <v>0</v>
      </c>
      <c r="N253" s="1767">
        <v>0</v>
      </c>
      <c r="O253" s="1767">
        <v>0</v>
      </c>
      <c r="P253" s="1767">
        <v>0</v>
      </c>
      <c r="Q253" s="1767">
        <v>0</v>
      </c>
      <c r="R253" s="1767">
        <v>0</v>
      </c>
      <c r="S253" s="1767">
        <v>0</v>
      </c>
      <c r="T253" s="1767">
        <v>0</v>
      </c>
      <c r="U253" s="1767">
        <v>0</v>
      </c>
      <c r="V253" s="1767">
        <v>0</v>
      </c>
      <c r="W253" s="1767">
        <v>0</v>
      </c>
      <c r="X253" s="1767">
        <v>0</v>
      </c>
      <c r="Y253" s="1767">
        <v>0</v>
      </c>
      <c r="Z253" s="1767">
        <v>0</v>
      </c>
      <c r="AA253" s="1767">
        <v>0</v>
      </c>
      <c r="AB253" s="1767">
        <v>0</v>
      </c>
      <c r="AC253" s="1767">
        <v>0</v>
      </c>
      <c r="AD253" s="1767">
        <v>0</v>
      </c>
      <c r="AE253" s="1767">
        <v>0</v>
      </c>
      <c r="AF253" s="1767">
        <v>0</v>
      </c>
      <c r="AG253" s="1767">
        <v>0</v>
      </c>
      <c r="AH253" s="1767">
        <v>0</v>
      </c>
      <c r="AI253" s="1767">
        <v>0</v>
      </c>
      <c r="AJ253" s="1767">
        <v>0</v>
      </c>
      <c r="AK253" s="1767">
        <v>0</v>
      </c>
      <c r="AL253" s="1767">
        <v>0</v>
      </c>
      <c r="AM253" s="1767">
        <v>0</v>
      </c>
      <c r="AN253" s="1767">
        <v>0</v>
      </c>
      <c r="AO253" s="1767">
        <v>0</v>
      </c>
      <c r="AP253" s="1767">
        <v>0</v>
      </c>
      <c r="AQ253" s="1767">
        <v>0</v>
      </c>
      <c r="AR253" s="1767">
        <v>0</v>
      </c>
      <c r="AS253" s="1767">
        <v>0</v>
      </c>
      <c r="AT253" s="1767">
        <v>0</v>
      </c>
      <c r="AU253" s="1767">
        <v>0</v>
      </c>
      <c r="AV253" s="1767">
        <v>0</v>
      </c>
      <c r="AW253" s="1767">
        <v>0</v>
      </c>
      <c r="AX253" s="1767">
        <v>0</v>
      </c>
      <c r="AY253" s="1767">
        <v>0</v>
      </c>
      <c r="AZ253" s="1767">
        <v>0</v>
      </c>
      <c r="BA253" s="1767">
        <v>0</v>
      </c>
      <c r="BB253" s="1767">
        <v>0</v>
      </c>
      <c r="BC253" s="1767">
        <v>0</v>
      </c>
      <c r="BD253" s="1767">
        <v>0</v>
      </c>
      <c r="BE253" s="1767">
        <v>0</v>
      </c>
      <c r="BF253" s="1767">
        <v>0</v>
      </c>
      <c r="BG253" s="1767">
        <v>0</v>
      </c>
      <c r="BH253" s="1767">
        <v>0</v>
      </c>
      <c r="BI253" s="1767">
        <v>0</v>
      </c>
      <c r="BJ253" s="1767">
        <v>0</v>
      </c>
      <c r="BK253" s="1767">
        <v>0</v>
      </c>
      <c r="BL253" s="1767">
        <v>0</v>
      </c>
      <c r="BM253" s="1767">
        <v>0</v>
      </c>
      <c r="BN253" s="1767">
        <v>0</v>
      </c>
      <c r="BO253" s="1767">
        <v>0</v>
      </c>
      <c r="BP253" s="1767">
        <v>0</v>
      </c>
      <c r="BQ253" s="1767">
        <v>0</v>
      </c>
      <c r="BR253" s="1767">
        <v>0</v>
      </c>
      <c r="BS253" s="1767">
        <v>0</v>
      </c>
      <c r="BT253" s="1767">
        <v>0</v>
      </c>
      <c r="BU253" s="1767">
        <v>0</v>
      </c>
      <c r="BV253" s="1767">
        <v>0</v>
      </c>
      <c r="BW253" s="1767">
        <v>0</v>
      </c>
      <c r="BX253" s="1767">
        <v>0</v>
      </c>
      <c r="BY253" s="1767">
        <v>0</v>
      </c>
      <c r="BZ253" s="1767">
        <v>0</v>
      </c>
      <c r="CA253" s="1767">
        <v>0</v>
      </c>
      <c r="CB253" s="1767">
        <v>0</v>
      </c>
      <c r="CC253" s="1767">
        <v>0</v>
      </c>
      <c r="CD253" s="1767">
        <v>0</v>
      </c>
      <c r="CE253" s="1767">
        <v>0</v>
      </c>
      <c r="CF253" s="1767">
        <v>0</v>
      </c>
      <c r="CG253" s="1767">
        <v>0</v>
      </c>
      <c r="CH253" s="1767">
        <v>0</v>
      </c>
      <c r="CI253" s="1767">
        <v>0</v>
      </c>
      <c r="CJ253" s="1767">
        <v>0</v>
      </c>
      <c r="CK253" s="1767">
        <v>0</v>
      </c>
      <c r="CL253" s="1767">
        <v>0</v>
      </c>
      <c r="CM253" s="1767">
        <v>0</v>
      </c>
      <c r="CN253" s="1767">
        <v>0</v>
      </c>
      <c r="CO253" s="1767">
        <v>0</v>
      </c>
      <c r="CP253" s="1767">
        <v>0</v>
      </c>
    </row>
    <row r="254" spans="1:94" ht="15" customHeight="1" x14ac:dyDescent="0.2">
      <c r="A254" s="1847"/>
      <c r="B254" s="1856"/>
      <c r="C254" s="653" t="s">
        <v>158</v>
      </c>
      <c r="D254" s="936"/>
      <c r="E254" s="1874"/>
      <c r="F254" s="1225"/>
      <c r="G254" s="1767">
        <v>0</v>
      </c>
      <c r="H254" s="1767">
        <v>0</v>
      </c>
      <c r="I254" s="1767">
        <v>0</v>
      </c>
      <c r="J254" s="1767">
        <v>0</v>
      </c>
      <c r="K254" s="1767">
        <v>0</v>
      </c>
      <c r="L254" s="1767">
        <v>0</v>
      </c>
      <c r="M254" s="1767">
        <v>0</v>
      </c>
      <c r="N254" s="1767">
        <v>0</v>
      </c>
      <c r="O254" s="1767">
        <v>0</v>
      </c>
      <c r="P254" s="1767">
        <v>0</v>
      </c>
      <c r="Q254" s="1767">
        <v>0</v>
      </c>
      <c r="R254" s="1767">
        <v>0</v>
      </c>
      <c r="S254" s="1767">
        <v>0</v>
      </c>
      <c r="T254" s="1767">
        <v>0</v>
      </c>
      <c r="U254" s="1767">
        <v>0</v>
      </c>
      <c r="V254" s="1767">
        <v>0</v>
      </c>
      <c r="W254" s="1767">
        <v>0</v>
      </c>
      <c r="X254" s="1767">
        <v>0</v>
      </c>
      <c r="Y254" s="1767">
        <v>0</v>
      </c>
      <c r="Z254" s="1767">
        <v>0</v>
      </c>
      <c r="AA254" s="1767">
        <v>0</v>
      </c>
      <c r="AB254" s="1767">
        <v>0</v>
      </c>
      <c r="AC254" s="1767">
        <v>0</v>
      </c>
      <c r="AD254" s="1767">
        <v>0</v>
      </c>
      <c r="AE254" s="1767">
        <v>0</v>
      </c>
      <c r="AF254" s="1767">
        <v>0</v>
      </c>
      <c r="AG254" s="1767">
        <v>0</v>
      </c>
      <c r="AH254" s="1767">
        <v>0</v>
      </c>
      <c r="AI254" s="1767">
        <v>0</v>
      </c>
      <c r="AJ254" s="1767">
        <v>0</v>
      </c>
      <c r="AK254" s="1767">
        <v>0</v>
      </c>
      <c r="AL254" s="1767">
        <v>0</v>
      </c>
      <c r="AM254" s="1767">
        <v>0</v>
      </c>
      <c r="AN254" s="1767">
        <v>0</v>
      </c>
      <c r="AO254" s="1767">
        <v>0</v>
      </c>
      <c r="AP254" s="1767">
        <v>0</v>
      </c>
      <c r="AQ254" s="1767">
        <v>0</v>
      </c>
      <c r="AR254" s="1767">
        <v>0</v>
      </c>
      <c r="AS254" s="1767">
        <v>0</v>
      </c>
      <c r="AT254" s="1767">
        <v>0</v>
      </c>
      <c r="AU254" s="1767">
        <v>0</v>
      </c>
      <c r="AV254" s="1767">
        <v>0</v>
      </c>
      <c r="AW254" s="1767">
        <v>0</v>
      </c>
      <c r="AX254" s="1767">
        <v>0</v>
      </c>
      <c r="AY254" s="1767">
        <v>0</v>
      </c>
      <c r="AZ254" s="1767">
        <v>0</v>
      </c>
      <c r="BA254" s="1767">
        <v>0</v>
      </c>
      <c r="BB254" s="1767">
        <v>0</v>
      </c>
      <c r="BC254" s="1767">
        <v>0</v>
      </c>
      <c r="BD254" s="1767">
        <v>0</v>
      </c>
      <c r="BE254" s="1767">
        <v>0</v>
      </c>
      <c r="BF254" s="1767">
        <v>0</v>
      </c>
      <c r="BG254" s="1767">
        <v>0</v>
      </c>
      <c r="BH254" s="1767">
        <v>0</v>
      </c>
      <c r="BI254" s="1767">
        <v>0</v>
      </c>
      <c r="BJ254" s="1767">
        <v>0</v>
      </c>
      <c r="BK254" s="1767">
        <v>0</v>
      </c>
      <c r="BL254" s="1767">
        <v>0</v>
      </c>
      <c r="BM254" s="1767">
        <v>0</v>
      </c>
      <c r="BN254" s="1767">
        <v>0</v>
      </c>
      <c r="BO254" s="1767">
        <v>0</v>
      </c>
      <c r="BP254" s="1767">
        <v>0</v>
      </c>
      <c r="BQ254" s="1767">
        <v>0</v>
      </c>
      <c r="BR254" s="1767">
        <v>0</v>
      </c>
      <c r="BS254" s="1767">
        <v>0</v>
      </c>
      <c r="BT254" s="1767">
        <v>0</v>
      </c>
      <c r="BU254" s="1767">
        <v>0</v>
      </c>
      <c r="BV254" s="1767">
        <v>0</v>
      </c>
      <c r="BW254" s="1767">
        <v>0</v>
      </c>
      <c r="BX254" s="1767">
        <v>0</v>
      </c>
      <c r="BY254" s="1767">
        <v>0</v>
      </c>
      <c r="BZ254" s="1767">
        <v>0</v>
      </c>
      <c r="CA254" s="1767">
        <v>0</v>
      </c>
      <c r="CB254" s="1767">
        <v>0</v>
      </c>
      <c r="CC254" s="1767">
        <v>0</v>
      </c>
      <c r="CD254" s="1767">
        <v>0</v>
      </c>
      <c r="CE254" s="1767">
        <v>0</v>
      </c>
      <c r="CF254" s="1767">
        <v>0</v>
      </c>
      <c r="CG254" s="1767">
        <v>0</v>
      </c>
      <c r="CH254" s="1767">
        <v>0</v>
      </c>
      <c r="CI254" s="1767">
        <v>0</v>
      </c>
      <c r="CJ254" s="1767">
        <v>0</v>
      </c>
      <c r="CK254" s="1767">
        <v>0</v>
      </c>
      <c r="CL254" s="1767">
        <v>0</v>
      </c>
      <c r="CM254" s="1767">
        <v>0</v>
      </c>
      <c r="CN254" s="1767">
        <v>0</v>
      </c>
      <c r="CO254" s="1767">
        <v>0</v>
      </c>
      <c r="CP254" s="1767">
        <v>0</v>
      </c>
    </row>
    <row r="255" spans="1:94" ht="15" customHeight="1" x14ac:dyDescent="0.2">
      <c r="A255" s="1847"/>
      <c r="B255" s="1856"/>
      <c r="C255" s="653" t="s">
        <v>159</v>
      </c>
      <c r="D255" s="936"/>
      <c r="E255" s="1874"/>
      <c r="F255" s="1225"/>
      <c r="G255" s="1767">
        <v>0</v>
      </c>
      <c r="H255" s="1767">
        <v>0</v>
      </c>
      <c r="I255" s="1767">
        <v>0</v>
      </c>
      <c r="J255" s="1767">
        <v>0</v>
      </c>
      <c r="K255" s="1767">
        <v>0</v>
      </c>
      <c r="L255" s="1767">
        <v>0</v>
      </c>
      <c r="M255" s="1767">
        <v>0</v>
      </c>
      <c r="N255" s="1767">
        <v>0</v>
      </c>
      <c r="O255" s="1767">
        <v>0</v>
      </c>
      <c r="P255" s="1767">
        <v>0</v>
      </c>
      <c r="Q255" s="1767">
        <v>0</v>
      </c>
      <c r="R255" s="1767">
        <v>0</v>
      </c>
      <c r="S255" s="1767">
        <v>0</v>
      </c>
      <c r="T255" s="1767">
        <v>0</v>
      </c>
      <c r="U255" s="1767">
        <v>0</v>
      </c>
      <c r="V255" s="1767">
        <v>0</v>
      </c>
      <c r="W255" s="1767">
        <v>0</v>
      </c>
      <c r="X255" s="1767">
        <v>0</v>
      </c>
      <c r="Y255" s="1767">
        <v>0</v>
      </c>
      <c r="Z255" s="1767">
        <v>0</v>
      </c>
      <c r="AA255" s="1767">
        <v>0</v>
      </c>
      <c r="AB255" s="1767">
        <v>0</v>
      </c>
      <c r="AC255" s="1767">
        <v>0</v>
      </c>
      <c r="AD255" s="1767">
        <v>0</v>
      </c>
      <c r="AE255" s="1767">
        <v>0</v>
      </c>
      <c r="AF255" s="1767">
        <v>0</v>
      </c>
      <c r="AG255" s="1767">
        <v>0</v>
      </c>
      <c r="AH255" s="1767">
        <v>0</v>
      </c>
      <c r="AI255" s="1767">
        <v>0</v>
      </c>
      <c r="AJ255" s="1767">
        <v>0</v>
      </c>
      <c r="AK255" s="1767">
        <v>0</v>
      </c>
      <c r="AL255" s="1767">
        <v>0</v>
      </c>
      <c r="AM255" s="1767">
        <v>0</v>
      </c>
      <c r="AN255" s="1767">
        <v>0</v>
      </c>
      <c r="AO255" s="1767">
        <v>0</v>
      </c>
      <c r="AP255" s="1767">
        <v>0</v>
      </c>
      <c r="AQ255" s="1767">
        <v>0</v>
      </c>
      <c r="AR255" s="1767">
        <v>0</v>
      </c>
      <c r="AS255" s="1767">
        <v>0</v>
      </c>
      <c r="AT255" s="1767">
        <v>0</v>
      </c>
      <c r="AU255" s="1767">
        <v>0</v>
      </c>
      <c r="AV255" s="1767">
        <v>0</v>
      </c>
      <c r="AW255" s="1767">
        <v>0</v>
      </c>
      <c r="AX255" s="1767">
        <v>0</v>
      </c>
      <c r="AY255" s="1767">
        <v>0</v>
      </c>
      <c r="AZ255" s="1767">
        <v>0</v>
      </c>
      <c r="BA255" s="1767">
        <v>0</v>
      </c>
      <c r="BB255" s="1767">
        <v>0</v>
      </c>
      <c r="BC255" s="1767">
        <v>0</v>
      </c>
      <c r="BD255" s="1767">
        <v>0</v>
      </c>
      <c r="BE255" s="1767">
        <v>0</v>
      </c>
      <c r="BF255" s="1767">
        <v>0</v>
      </c>
      <c r="BG255" s="1767">
        <v>0</v>
      </c>
      <c r="BH255" s="1767">
        <v>0</v>
      </c>
      <c r="BI255" s="1767">
        <v>0</v>
      </c>
      <c r="BJ255" s="1767">
        <v>0</v>
      </c>
      <c r="BK255" s="1767">
        <v>0</v>
      </c>
      <c r="BL255" s="1767">
        <v>0</v>
      </c>
      <c r="BM255" s="1767">
        <v>0</v>
      </c>
      <c r="BN255" s="1767">
        <v>0</v>
      </c>
      <c r="BO255" s="1767">
        <v>0</v>
      </c>
      <c r="BP255" s="1767">
        <v>0</v>
      </c>
      <c r="BQ255" s="1767">
        <v>0</v>
      </c>
      <c r="BR255" s="1767">
        <v>0</v>
      </c>
      <c r="BS255" s="1767">
        <v>0</v>
      </c>
      <c r="BT255" s="1767">
        <v>0</v>
      </c>
      <c r="BU255" s="1767">
        <v>0</v>
      </c>
      <c r="BV255" s="1767">
        <v>0</v>
      </c>
      <c r="BW255" s="1767">
        <v>0</v>
      </c>
      <c r="BX255" s="1767">
        <v>0</v>
      </c>
      <c r="BY255" s="1767">
        <v>0</v>
      </c>
      <c r="BZ255" s="1767">
        <v>0</v>
      </c>
      <c r="CA255" s="1767">
        <v>0</v>
      </c>
      <c r="CB255" s="1767">
        <v>0</v>
      </c>
      <c r="CC255" s="1767">
        <v>0</v>
      </c>
      <c r="CD255" s="1767">
        <v>0</v>
      </c>
      <c r="CE255" s="1767">
        <v>0</v>
      </c>
      <c r="CF255" s="1767">
        <v>0</v>
      </c>
      <c r="CG255" s="1767">
        <v>0</v>
      </c>
      <c r="CH255" s="1767">
        <v>0</v>
      </c>
      <c r="CI255" s="1767">
        <v>0</v>
      </c>
      <c r="CJ255" s="1767">
        <v>0</v>
      </c>
      <c r="CK255" s="1767">
        <v>0</v>
      </c>
      <c r="CL255" s="1767">
        <v>0</v>
      </c>
      <c r="CM255" s="1767">
        <v>0</v>
      </c>
      <c r="CN255" s="1767">
        <v>0</v>
      </c>
      <c r="CO255" s="1767">
        <v>0</v>
      </c>
      <c r="CP255" s="1767">
        <v>0</v>
      </c>
    </row>
    <row r="256" spans="1:94" ht="15" customHeight="1" x14ac:dyDescent="0.2">
      <c r="A256" s="1847"/>
      <c r="B256" s="1856"/>
      <c r="C256" s="653" t="s">
        <v>160</v>
      </c>
      <c r="D256" s="936"/>
      <c r="E256" s="1874"/>
      <c r="F256" s="1225"/>
      <c r="G256" s="1767">
        <v>0</v>
      </c>
      <c r="H256" s="1767">
        <v>0</v>
      </c>
      <c r="I256" s="1767">
        <v>0</v>
      </c>
      <c r="J256" s="1767">
        <v>0</v>
      </c>
      <c r="K256" s="1767">
        <v>0</v>
      </c>
      <c r="L256" s="1767">
        <v>0</v>
      </c>
      <c r="M256" s="1767">
        <v>0</v>
      </c>
      <c r="N256" s="1767">
        <v>0</v>
      </c>
      <c r="O256" s="1767">
        <v>0</v>
      </c>
      <c r="P256" s="1767">
        <v>0</v>
      </c>
      <c r="Q256" s="1767">
        <v>0</v>
      </c>
      <c r="R256" s="1767">
        <v>0</v>
      </c>
      <c r="S256" s="1767">
        <v>0</v>
      </c>
      <c r="T256" s="1767">
        <v>0</v>
      </c>
      <c r="U256" s="1767">
        <v>0</v>
      </c>
      <c r="V256" s="1767">
        <v>0</v>
      </c>
      <c r="W256" s="1767">
        <v>0</v>
      </c>
      <c r="X256" s="1767">
        <v>0</v>
      </c>
      <c r="Y256" s="1767">
        <v>0</v>
      </c>
      <c r="Z256" s="1767">
        <v>0</v>
      </c>
      <c r="AA256" s="1767">
        <v>0</v>
      </c>
      <c r="AB256" s="1767">
        <v>0</v>
      </c>
      <c r="AC256" s="1767">
        <v>0</v>
      </c>
      <c r="AD256" s="1767">
        <v>0</v>
      </c>
      <c r="AE256" s="1767">
        <v>0</v>
      </c>
      <c r="AF256" s="1767">
        <v>0</v>
      </c>
      <c r="AG256" s="1767">
        <v>0</v>
      </c>
      <c r="AH256" s="1767">
        <v>0</v>
      </c>
      <c r="AI256" s="1767">
        <v>0</v>
      </c>
      <c r="AJ256" s="1767">
        <v>0</v>
      </c>
      <c r="AK256" s="1767">
        <v>0</v>
      </c>
      <c r="AL256" s="1767">
        <v>0</v>
      </c>
      <c r="AM256" s="1767">
        <v>0</v>
      </c>
      <c r="AN256" s="1767">
        <v>0</v>
      </c>
      <c r="AO256" s="1767">
        <v>0</v>
      </c>
      <c r="AP256" s="1767">
        <v>0</v>
      </c>
      <c r="AQ256" s="1767">
        <v>0</v>
      </c>
      <c r="AR256" s="1767">
        <v>0</v>
      </c>
      <c r="AS256" s="1767">
        <v>0</v>
      </c>
      <c r="AT256" s="1767">
        <v>0</v>
      </c>
      <c r="AU256" s="1767">
        <v>0</v>
      </c>
      <c r="AV256" s="1767">
        <v>0</v>
      </c>
      <c r="AW256" s="1767">
        <v>0</v>
      </c>
      <c r="AX256" s="1767">
        <v>0</v>
      </c>
      <c r="AY256" s="1767">
        <v>0</v>
      </c>
      <c r="AZ256" s="1767">
        <v>0</v>
      </c>
      <c r="BA256" s="1767">
        <v>0</v>
      </c>
      <c r="BB256" s="1767">
        <v>0</v>
      </c>
      <c r="BC256" s="1767">
        <v>0</v>
      </c>
      <c r="BD256" s="1767">
        <v>0</v>
      </c>
      <c r="BE256" s="1767">
        <v>0</v>
      </c>
      <c r="BF256" s="1767">
        <v>0</v>
      </c>
      <c r="BG256" s="1767">
        <v>0</v>
      </c>
      <c r="BH256" s="1767">
        <v>0</v>
      </c>
      <c r="BI256" s="1767">
        <v>0</v>
      </c>
      <c r="BJ256" s="1767">
        <v>0</v>
      </c>
      <c r="BK256" s="1767">
        <v>0</v>
      </c>
      <c r="BL256" s="1767">
        <v>0</v>
      </c>
      <c r="BM256" s="1767">
        <v>0</v>
      </c>
      <c r="BN256" s="1767">
        <v>0</v>
      </c>
      <c r="BO256" s="1767">
        <v>0</v>
      </c>
      <c r="BP256" s="1767">
        <v>0</v>
      </c>
      <c r="BQ256" s="1767">
        <v>0</v>
      </c>
      <c r="BR256" s="1767">
        <v>0</v>
      </c>
      <c r="BS256" s="1767">
        <v>0</v>
      </c>
      <c r="BT256" s="1767">
        <v>0</v>
      </c>
      <c r="BU256" s="1767">
        <v>0</v>
      </c>
      <c r="BV256" s="1767">
        <v>0</v>
      </c>
      <c r="BW256" s="1767">
        <v>0</v>
      </c>
      <c r="BX256" s="1767">
        <v>0</v>
      </c>
      <c r="BY256" s="1767">
        <v>0</v>
      </c>
      <c r="BZ256" s="1767">
        <v>0</v>
      </c>
      <c r="CA256" s="1767">
        <v>0</v>
      </c>
      <c r="CB256" s="1767">
        <v>0</v>
      </c>
      <c r="CC256" s="1767">
        <v>0</v>
      </c>
      <c r="CD256" s="1767">
        <v>0</v>
      </c>
      <c r="CE256" s="1767">
        <v>0</v>
      </c>
      <c r="CF256" s="1767">
        <v>0</v>
      </c>
      <c r="CG256" s="1767">
        <v>0</v>
      </c>
      <c r="CH256" s="1767">
        <v>0</v>
      </c>
      <c r="CI256" s="1767">
        <v>0</v>
      </c>
      <c r="CJ256" s="1767">
        <v>0</v>
      </c>
      <c r="CK256" s="1767">
        <v>0</v>
      </c>
      <c r="CL256" s="1767">
        <v>0</v>
      </c>
      <c r="CM256" s="1767">
        <v>0</v>
      </c>
      <c r="CN256" s="1767">
        <v>0</v>
      </c>
      <c r="CO256" s="1767">
        <v>0</v>
      </c>
      <c r="CP256" s="1767">
        <v>0</v>
      </c>
    </row>
    <row r="257" spans="1:94" ht="15" customHeight="1" thickBot="1" x14ac:dyDescent="0.25">
      <c r="A257" s="1848"/>
      <c r="B257" s="1857"/>
      <c r="C257" s="659" t="s">
        <v>2367</v>
      </c>
      <c r="D257" s="950"/>
      <c r="E257" s="1875"/>
      <c r="F257" s="1225"/>
      <c r="G257" s="1767">
        <v>0</v>
      </c>
      <c r="H257" s="1767">
        <v>0</v>
      </c>
      <c r="I257" s="1767">
        <v>0</v>
      </c>
      <c r="J257" s="1767">
        <v>0</v>
      </c>
      <c r="K257" s="1767">
        <v>0</v>
      </c>
      <c r="L257" s="1767">
        <v>0</v>
      </c>
      <c r="M257" s="1767">
        <v>0</v>
      </c>
      <c r="N257" s="1767">
        <v>0</v>
      </c>
      <c r="O257" s="1767">
        <v>0</v>
      </c>
      <c r="P257" s="1767">
        <v>0</v>
      </c>
      <c r="Q257" s="1767">
        <v>0</v>
      </c>
      <c r="R257" s="1767">
        <v>0</v>
      </c>
      <c r="S257" s="1767">
        <v>0</v>
      </c>
      <c r="T257" s="1767">
        <v>0</v>
      </c>
      <c r="U257" s="1767">
        <v>0</v>
      </c>
      <c r="V257" s="1767">
        <v>0</v>
      </c>
      <c r="W257" s="1767">
        <v>0</v>
      </c>
      <c r="X257" s="1767">
        <v>0</v>
      </c>
      <c r="Y257" s="1767">
        <v>0</v>
      </c>
      <c r="Z257" s="1767">
        <v>0</v>
      </c>
      <c r="AA257" s="1767">
        <v>0</v>
      </c>
      <c r="AB257" s="1767">
        <v>0</v>
      </c>
      <c r="AC257" s="1767">
        <v>0</v>
      </c>
      <c r="AD257" s="1767">
        <v>0</v>
      </c>
      <c r="AE257" s="1767">
        <v>0</v>
      </c>
      <c r="AF257" s="1767">
        <v>0</v>
      </c>
      <c r="AG257" s="1767">
        <v>0</v>
      </c>
      <c r="AH257" s="1767">
        <v>0</v>
      </c>
      <c r="AI257" s="1767">
        <v>0</v>
      </c>
      <c r="AJ257" s="1767">
        <v>0</v>
      </c>
      <c r="AK257" s="1767">
        <v>0</v>
      </c>
      <c r="AL257" s="1767">
        <v>0</v>
      </c>
      <c r="AM257" s="1767">
        <v>0</v>
      </c>
      <c r="AN257" s="1767">
        <v>0</v>
      </c>
      <c r="AO257" s="1767">
        <v>0</v>
      </c>
      <c r="AP257" s="1767">
        <v>0</v>
      </c>
      <c r="AQ257" s="1767">
        <v>0</v>
      </c>
      <c r="AR257" s="1767">
        <v>0</v>
      </c>
      <c r="AS257" s="1767">
        <v>0</v>
      </c>
      <c r="AT257" s="1767">
        <v>0</v>
      </c>
      <c r="AU257" s="1767">
        <v>0</v>
      </c>
      <c r="AV257" s="1767">
        <v>0</v>
      </c>
      <c r="AW257" s="1767">
        <v>0</v>
      </c>
      <c r="AX257" s="1767">
        <v>0</v>
      </c>
      <c r="AY257" s="1767">
        <v>0</v>
      </c>
      <c r="AZ257" s="1767">
        <v>0</v>
      </c>
      <c r="BA257" s="1767">
        <v>0</v>
      </c>
      <c r="BB257" s="1767">
        <v>0</v>
      </c>
      <c r="BC257" s="1767">
        <v>0</v>
      </c>
      <c r="BD257" s="1767">
        <v>0</v>
      </c>
      <c r="BE257" s="1767">
        <v>0</v>
      </c>
      <c r="BF257" s="1767">
        <v>0</v>
      </c>
      <c r="BG257" s="1767">
        <v>0</v>
      </c>
      <c r="BH257" s="1767">
        <v>0</v>
      </c>
      <c r="BI257" s="1767">
        <v>0</v>
      </c>
      <c r="BJ257" s="1767">
        <v>0</v>
      </c>
      <c r="BK257" s="1767">
        <v>0</v>
      </c>
      <c r="BL257" s="1767">
        <v>0</v>
      </c>
      <c r="BM257" s="1767">
        <v>0</v>
      </c>
      <c r="BN257" s="1767">
        <v>0</v>
      </c>
      <c r="BO257" s="1767">
        <v>0</v>
      </c>
      <c r="BP257" s="1767">
        <v>0</v>
      </c>
      <c r="BQ257" s="1767">
        <v>0</v>
      </c>
      <c r="BR257" s="1767">
        <v>0</v>
      </c>
      <c r="BS257" s="1767">
        <v>0</v>
      </c>
      <c r="BT257" s="1767">
        <v>0</v>
      </c>
      <c r="BU257" s="1767">
        <v>0</v>
      </c>
      <c r="BV257" s="1767">
        <v>0</v>
      </c>
      <c r="BW257" s="1767">
        <v>0</v>
      </c>
      <c r="BX257" s="1767">
        <v>0</v>
      </c>
      <c r="BY257" s="1767">
        <v>0</v>
      </c>
      <c r="BZ257" s="1767">
        <v>0</v>
      </c>
      <c r="CA257" s="1767">
        <v>0</v>
      </c>
      <c r="CB257" s="1767">
        <v>0</v>
      </c>
      <c r="CC257" s="1767">
        <v>0</v>
      </c>
      <c r="CD257" s="1767">
        <v>0</v>
      </c>
      <c r="CE257" s="1767">
        <v>0</v>
      </c>
      <c r="CF257" s="1767">
        <v>0</v>
      </c>
      <c r="CG257" s="1767">
        <v>0</v>
      </c>
      <c r="CH257" s="1767">
        <v>0</v>
      </c>
      <c r="CI257" s="1767">
        <v>0</v>
      </c>
      <c r="CJ257" s="1767">
        <v>0</v>
      </c>
      <c r="CK257" s="1767">
        <v>0</v>
      </c>
      <c r="CL257" s="1767">
        <v>0</v>
      </c>
      <c r="CM257" s="1767">
        <v>0</v>
      </c>
      <c r="CN257" s="1767">
        <v>0</v>
      </c>
      <c r="CO257" s="1767">
        <v>0</v>
      </c>
      <c r="CP257" s="1767">
        <v>0</v>
      </c>
    </row>
    <row r="258" spans="1:94" ht="18.75" customHeight="1" thickBot="1" x14ac:dyDescent="0.25">
      <c r="A258" s="1846" t="s">
        <v>239</v>
      </c>
      <c r="B258" s="1846" t="s">
        <v>273</v>
      </c>
      <c r="C258" s="1777" t="s">
        <v>2329</v>
      </c>
      <c r="D258" s="1354"/>
      <c r="E258" s="1831" t="s">
        <v>2050</v>
      </c>
      <c r="F258" s="1225"/>
      <c r="G258" s="1742"/>
      <c r="H258" s="1742"/>
      <c r="I258" s="1742"/>
      <c r="J258" s="1742"/>
      <c r="K258" s="1742"/>
      <c r="L258" s="1742"/>
      <c r="M258" s="1742"/>
      <c r="N258" s="1742"/>
      <c r="O258" s="1742"/>
      <c r="P258" s="1742"/>
      <c r="Q258" s="1742"/>
      <c r="R258" s="1742"/>
      <c r="S258" s="1742"/>
      <c r="T258" s="1742"/>
      <c r="U258" s="1742"/>
      <c r="V258" s="1742"/>
      <c r="W258" s="1742"/>
      <c r="X258" s="1742"/>
      <c r="Y258" s="1742"/>
      <c r="Z258" s="1742"/>
      <c r="AA258" s="1742"/>
      <c r="AB258" s="1742"/>
      <c r="AC258" s="1742"/>
      <c r="AD258" s="1742"/>
      <c r="AE258" s="1742"/>
      <c r="AF258" s="1742"/>
      <c r="AG258" s="1742"/>
      <c r="AH258" s="1742"/>
      <c r="AI258" s="1742"/>
      <c r="AJ258" s="1742"/>
      <c r="AK258" s="1742"/>
      <c r="AL258" s="1742"/>
      <c r="AM258" s="1742"/>
      <c r="AN258" s="1742"/>
      <c r="AO258" s="1742"/>
      <c r="AP258" s="1742"/>
      <c r="AQ258" s="1742"/>
      <c r="AR258" s="1742"/>
      <c r="AS258" s="1742"/>
      <c r="AT258" s="1742"/>
      <c r="AU258" s="1742"/>
      <c r="AV258" s="1742"/>
      <c r="AW258" s="1742"/>
      <c r="AX258" s="1742"/>
      <c r="AY258" s="1742"/>
      <c r="AZ258" s="1742"/>
      <c r="BA258" s="1742"/>
      <c r="BB258" s="1742"/>
      <c r="BC258" s="1742"/>
      <c r="BD258" s="1742"/>
      <c r="BE258" s="1742"/>
      <c r="BF258" s="1742"/>
      <c r="BG258" s="1742"/>
      <c r="BH258" s="1742"/>
      <c r="BI258" s="1742"/>
      <c r="BJ258" s="1742"/>
      <c r="BK258" s="1742"/>
      <c r="BL258" s="1742"/>
      <c r="BM258" s="1742"/>
      <c r="BN258" s="1742"/>
      <c r="BO258" s="1742"/>
      <c r="BP258" s="1742"/>
      <c r="BQ258" s="1742"/>
      <c r="BR258" s="1742"/>
      <c r="BS258" s="1742"/>
      <c r="BT258" s="1742"/>
      <c r="BU258" s="1742"/>
      <c r="BV258" s="1742"/>
      <c r="BW258" s="1742"/>
      <c r="BX258" s="1742"/>
      <c r="BY258" s="1742"/>
      <c r="BZ258" s="1742"/>
      <c r="CA258" s="1742"/>
      <c r="CB258" s="1742"/>
      <c r="CC258" s="1742"/>
      <c r="CD258" s="1742"/>
      <c r="CE258" s="1742"/>
      <c r="CF258" s="1742"/>
      <c r="CG258" s="1742"/>
      <c r="CH258" s="1742"/>
      <c r="CI258" s="1742"/>
      <c r="CJ258" s="1742"/>
      <c r="CK258" s="1742"/>
      <c r="CL258" s="1742"/>
      <c r="CM258" s="1742"/>
      <c r="CN258" s="1742"/>
      <c r="CO258" s="1742"/>
      <c r="CP258" s="1742"/>
    </row>
    <row r="259" spans="1:94" ht="15" customHeight="1" x14ac:dyDescent="0.2">
      <c r="A259" s="1856"/>
      <c r="B259" s="1856"/>
      <c r="C259" s="652" t="s">
        <v>455</v>
      </c>
      <c r="D259" s="1355"/>
      <c r="E259" s="1862"/>
      <c r="F259" s="1225"/>
      <c r="G259" s="1767">
        <v>0</v>
      </c>
      <c r="H259" s="1767">
        <v>0</v>
      </c>
      <c r="I259" s="1767">
        <v>0</v>
      </c>
      <c r="J259" s="1767">
        <v>0</v>
      </c>
      <c r="K259" s="1767">
        <v>0</v>
      </c>
      <c r="L259" s="1767">
        <v>0</v>
      </c>
      <c r="M259" s="1767">
        <v>0</v>
      </c>
      <c r="N259" s="1767">
        <v>0</v>
      </c>
      <c r="O259" s="1767">
        <v>0</v>
      </c>
      <c r="P259" s="1767">
        <v>0</v>
      </c>
      <c r="Q259" s="1767">
        <v>0</v>
      </c>
      <c r="R259" s="1767">
        <v>0</v>
      </c>
      <c r="S259" s="1767">
        <v>0</v>
      </c>
      <c r="T259" s="1767">
        <v>0</v>
      </c>
      <c r="U259" s="1767">
        <v>0</v>
      </c>
      <c r="V259" s="1767">
        <v>0</v>
      </c>
      <c r="W259" s="1767">
        <v>0</v>
      </c>
      <c r="X259" s="1767">
        <v>0</v>
      </c>
      <c r="Y259" s="1767">
        <v>0</v>
      </c>
      <c r="Z259" s="1767">
        <v>0</v>
      </c>
      <c r="AA259" s="1767">
        <v>0</v>
      </c>
      <c r="AB259" s="1767">
        <v>0</v>
      </c>
      <c r="AC259" s="1767">
        <v>0</v>
      </c>
      <c r="AD259" s="1767">
        <v>0</v>
      </c>
      <c r="AE259" s="1767">
        <v>0</v>
      </c>
      <c r="AF259" s="1767">
        <v>0</v>
      </c>
      <c r="AG259" s="1767">
        <v>0</v>
      </c>
      <c r="AH259" s="1767">
        <v>0</v>
      </c>
      <c r="AI259" s="1767">
        <v>0</v>
      </c>
      <c r="AJ259" s="1767">
        <v>0</v>
      </c>
      <c r="AK259" s="1767">
        <v>0</v>
      </c>
      <c r="AL259" s="1767">
        <v>0</v>
      </c>
      <c r="AM259" s="1767">
        <v>0</v>
      </c>
      <c r="AN259" s="1767">
        <v>0</v>
      </c>
      <c r="AO259" s="1767">
        <v>0</v>
      </c>
      <c r="AP259" s="1767">
        <v>0</v>
      </c>
      <c r="AQ259" s="1767">
        <v>0</v>
      </c>
      <c r="AR259" s="1767">
        <v>0</v>
      </c>
      <c r="AS259" s="1767">
        <v>0</v>
      </c>
      <c r="AT259" s="1767">
        <v>0</v>
      </c>
      <c r="AU259" s="1767">
        <v>0</v>
      </c>
      <c r="AV259" s="1767">
        <v>0</v>
      </c>
      <c r="AW259" s="1767">
        <v>0</v>
      </c>
      <c r="AX259" s="1767">
        <v>0</v>
      </c>
      <c r="AY259" s="1767">
        <v>0</v>
      </c>
      <c r="AZ259" s="1767">
        <v>0</v>
      </c>
      <c r="BA259" s="1767">
        <v>0</v>
      </c>
      <c r="BB259" s="1767">
        <v>0</v>
      </c>
      <c r="BC259" s="1767">
        <v>0</v>
      </c>
      <c r="BD259" s="1767">
        <v>0</v>
      </c>
      <c r="BE259" s="1767">
        <v>0</v>
      </c>
      <c r="BF259" s="1767">
        <v>0</v>
      </c>
      <c r="BG259" s="1767">
        <v>0</v>
      </c>
      <c r="BH259" s="1767">
        <v>0</v>
      </c>
      <c r="BI259" s="1767">
        <v>0</v>
      </c>
      <c r="BJ259" s="1767">
        <v>0</v>
      </c>
      <c r="BK259" s="1767">
        <v>0</v>
      </c>
      <c r="BL259" s="1767">
        <v>0</v>
      </c>
      <c r="BM259" s="1767">
        <v>0</v>
      </c>
      <c r="BN259" s="1767">
        <v>0</v>
      </c>
      <c r="BO259" s="1767">
        <v>0</v>
      </c>
      <c r="BP259" s="1767">
        <v>0</v>
      </c>
      <c r="BQ259" s="1767">
        <v>0</v>
      </c>
      <c r="BR259" s="1767">
        <v>0</v>
      </c>
      <c r="BS259" s="1767">
        <v>0</v>
      </c>
      <c r="BT259" s="1767">
        <v>0</v>
      </c>
      <c r="BU259" s="1767">
        <v>0</v>
      </c>
      <c r="BV259" s="1767">
        <v>0</v>
      </c>
      <c r="BW259" s="1767">
        <v>0</v>
      </c>
      <c r="BX259" s="1767">
        <v>0</v>
      </c>
      <c r="BY259" s="1767">
        <v>0</v>
      </c>
      <c r="BZ259" s="1767">
        <v>0</v>
      </c>
      <c r="CA259" s="1767">
        <v>0</v>
      </c>
      <c r="CB259" s="1767">
        <v>0</v>
      </c>
      <c r="CC259" s="1767">
        <v>0</v>
      </c>
      <c r="CD259" s="1767">
        <v>0</v>
      </c>
      <c r="CE259" s="1767">
        <v>0</v>
      </c>
      <c r="CF259" s="1767">
        <v>0</v>
      </c>
      <c r="CG259" s="1767">
        <v>0</v>
      </c>
      <c r="CH259" s="1767">
        <v>0</v>
      </c>
      <c r="CI259" s="1767">
        <v>0</v>
      </c>
      <c r="CJ259" s="1767">
        <v>0</v>
      </c>
      <c r="CK259" s="1767">
        <v>0</v>
      </c>
      <c r="CL259" s="1767">
        <v>0</v>
      </c>
      <c r="CM259" s="1767">
        <v>0</v>
      </c>
      <c r="CN259" s="1767">
        <v>0</v>
      </c>
      <c r="CO259" s="1767">
        <v>0</v>
      </c>
      <c r="CP259" s="1767">
        <v>0</v>
      </c>
    </row>
    <row r="260" spans="1:94" ht="27" customHeight="1" thickBot="1" x14ac:dyDescent="0.25">
      <c r="A260" s="1857"/>
      <c r="B260" s="1857"/>
      <c r="C260" s="654" t="s">
        <v>1707</v>
      </c>
      <c r="D260" s="1356"/>
      <c r="E260" s="1862"/>
      <c r="F260" s="1225"/>
      <c r="G260" s="1767">
        <v>0</v>
      </c>
      <c r="H260" s="1767">
        <v>0</v>
      </c>
      <c r="I260" s="1767">
        <v>0</v>
      </c>
      <c r="J260" s="1767">
        <v>0</v>
      </c>
      <c r="K260" s="1767">
        <v>0</v>
      </c>
      <c r="L260" s="1767">
        <v>0</v>
      </c>
      <c r="M260" s="1767">
        <v>0</v>
      </c>
      <c r="N260" s="1767">
        <v>0</v>
      </c>
      <c r="O260" s="1767">
        <v>0</v>
      </c>
      <c r="P260" s="1767">
        <v>0</v>
      </c>
      <c r="Q260" s="1767">
        <v>0</v>
      </c>
      <c r="R260" s="1767">
        <v>0</v>
      </c>
      <c r="S260" s="1767">
        <v>0</v>
      </c>
      <c r="T260" s="1767">
        <v>0</v>
      </c>
      <c r="U260" s="1767">
        <v>0</v>
      </c>
      <c r="V260" s="1767">
        <v>0</v>
      </c>
      <c r="W260" s="1767">
        <v>0</v>
      </c>
      <c r="X260" s="1767">
        <v>0</v>
      </c>
      <c r="Y260" s="1767">
        <v>0</v>
      </c>
      <c r="Z260" s="1767">
        <v>0</v>
      </c>
      <c r="AA260" s="1767">
        <v>0</v>
      </c>
      <c r="AB260" s="1767">
        <v>0</v>
      </c>
      <c r="AC260" s="1767">
        <v>0</v>
      </c>
      <c r="AD260" s="1767">
        <v>0</v>
      </c>
      <c r="AE260" s="1767">
        <v>0</v>
      </c>
      <c r="AF260" s="1767">
        <v>0</v>
      </c>
      <c r="AG260" s="1767">
        <v>0</v>
      </c>
      <c r="AH260" s="1767">
        <v>0</v>
      </c>
      <c r="AI260" s="1767">
        <v>0</v>
      </c>
      <c r="AJ260" s="1767">
        <v>0</v>
      </c>
      <c r="AK260" s="1767">
        <v>0</v>
      </c>
      <c r="AL260" s="1767">
        <v>0</v>
      </c>
      <c r="AM260" s="1767">
        <v>0</v>
      </c>
      <c r="AN260" s="1767">
        <v>0</v>
      </c>
      <c r="AO260" s="1767">
        <v>0</v>
      </c>
      <c r="AP260" s="1767">
        <v>0</v>
      </c>
      <c r="AQ260" s="1767">
        <v>0</v>
      </c>
      <c r="AR260" s="1767">
        <v>0</v>
      </c>
      <c r="AS260" s="1767">
        <v>0</v>
      </c>
      <c r="AT260" s="1767">
        <v>0</v>
      </c>
      <c r="AU260" s="1767">
        <v>0</v>
      </c>
      <c r="AV260" s="1767">
        <v>0</v>
      </c>
      <c r="AW260" s="1767">
        <v>0</v>
      </c>
      <c r="AX260" s="1767">
        <v>0</v>
      </c>
      <c r="AY260" s="1767">
        <v>0</v>
      </c>
      <c r="AZ260" s="1767">
        <v>0</v>
      </c>
      <c r="BA260" s="1767">
        <v>0</v>
      </c>
      <c r="BB260" s="1767">
        <v>0</v>
      </c>
      <c r="BC260" s="1767">
        <v>0</v>
      </c>
      <c r="BD260" s="1767">
        <v>0</v>
      </c>
      <c r="BE260" s="1767">
        <v>0</v>
      </c>
      <c r="BF260" s="1767">
        <v>0</v>
      </c>
      <c r="BG260" s="1767">
        <v>0</v>
      </c>
      <c r="BH260" s="1767">
        <v>0</v>
      </c>
      <c r="BI260" s="1767">
        <v>0</v>
      </c>
      <c r="BJ260" s="1767">
        <v>0</v>
      </c>
      <c r="BK260" s="1767">
        <v>0</v>
      </c>
      <c r="BL260" s="1767">
        <v>0</v>
      </c>
      <c r="BM260" s="1767">
        <v>0</v>
      </c>
      <c r="BN260" s="1767">
        <v>0</v>
      </c>
      <c r="BO260" s="1767">
        <v>0</v>
      </c>
      <c r="BP260" s="1767">
        <v>0</v>
      </c>
      <c r="BQ260" s="1767">
        <v>0</v>
      </c>
      <c r="BR260" s="1767">
        <v>0</v>
      </c>
      <c r="BS260" s="1767">
        <v>0</v>
      </c>
      <c r="BT260" s="1767">
        <v>0</v>
      </c>
      <c r="BU260" s="1767">
        <v>0</v>
      </c>
      <c r="BV260" s="1767">
        <v>0</v>
      </c>
      <c r="BW260" s="1767">
        <v>0</v>
      </c>
      <c r="BX260" s="1767">
        <v>0</v>
      </c>
      <c r="BY260" s="1767">
        <v>0</v>
      </c>
      <c r="BZ260" s="1767">
        <v>0</v>
      </c>
      <c r="CA260" s="1767">
        <v>0</v>
      </c>
      <c r="CB260" s="1767">
        <v>0</v>
      </c>
      <c r="CC260" s="1767">
        <v>0</v>
      </c>
      <c r="CD260" s="1767">
        <v>0</v>
      </c>
      <c r="CE260" s="1767">
        <v>0</v>
      </c>
      <c r="CF260" s="1767">
        <v>0</v>
      </c>
      <c r="CG260" s="1767">
        <v>0</v>
      </c>
      <c r="CH260" s="1767">
        <v>0</v>
      </c>
      <c r="CI260" s="1767">
        <v>0</v>
      </c>
      <c r="CJ260" s="1767">
        <v>0</v>
      </c>
      <c r="CK260" s="1767">
        <v>0</v>
      </c>
      <c r="CL260" s="1767">
        <v>0</v>
      </c>
      <c r="CM260" s="1767">
        <v>0</v>
      </c>
      <c r="CN260" s="1767">
        <v>0</v>
      </c>
      <c r="CO260" s="1767">
        <v>0</v>
      </c>
      <c r="CP260" s="1767">
        <v>0</v>
      </c>
    </row>
    <row r="261" spans="1:94" ht="45" customHeight="1" thickBot="1" x14ac:dyDescent="0.25">
      <c r="A261" s="1358" t="s">
        <v>29</v>
      </c>
      <c r="B261" s="1365" t="s">
        <v>639</v>
      </c>
      <c r="C261" s="1781" t="s">
        <v>640</v>
      </c>
      <c r="D261" s="948"/>
      <c r="E261" s="791" t="s">
        <v>2051</v>
      </c>
      <c r="F261" s="1225"/>
      <c r="G261" s="1767">
        <v>0</v>
      </c>
      <c r="H261" s="1767">
        <v>0</v>
      </c>
      <c r="I261" s="1767">
        <v>0</v>
      </c>
      <c r="J261" s="1767">
        <v>0</v>
      </c>
      <c r="K261" s="1767">
        <v>0</v>
      </c>
      <c r="L261" s="1767">
        <v>0</v>
      </c>
      <c r="M261" s="1767">
        <v>0</v>
      </c>
      <c r="N261" s="1767">
        <v>0</v>
      </c>
      <c r="O261" s="1767">
        <v>0</v>
      </c>
      <c r="P261" s="1767">
        <v>0</v>
      </c>
      <c r="Q261" s="1767">
        <v>0</v>
      </c>
      <c r="R261" s="1767">
        <v>0</v>
      </c>
      <c r="S261" s="1767">
        <v>0</v>
      </c>
      <c r="T261" s="1767">
        <v>0</v>
      </c>
      <c r="U261" s="1767">
        <v>0</v>
      </c>
      <c r="V261" s="1767">
        <v>0</v>
      </c>
      <c r="W261" s="1767">
        <v>0</v>
      </c>
      <c r="X261" s="1767">
        <v>0</v>
      </c>
      <c r="Y261" s="1767">
        <v>0</v>
      </c>
      <c r="Z261" s="1767">
        <v>0</v>
      </c>
      <c r="AA261" s="1767">
        <v>0</v>
      </c>
      <c r="AB261" s="1767">
        <v>0</v>
      </c>
      <c r="AC261" s="1767">
        <v>0</v>
      </c>
      <c r="AD261" s="1767">
        <v>0</v>
      </c>
      <c r="AE261" s="1767">
        <v>0</v>
      </c>
      <c r="AF261" s="1767">
        <v>0</v>
      </c>
      <c r="AG261" s="1767">
        <v>0</v>
      </c>
      <c r="AH261" s="1767">
        <v>0</v>
      </c>
      <c r="AI261" s="1767">
        <v>0</v>
      </c>
      <c r="AJ261" s="1767">
        <v>0</v>
      </c>
      <c r="AK261" s="1767">
        <v>0</v>
      </c>
      <c r="AL261" s="1767">
        <v>0</v>
      </c>
      <c r="AM261" s="1767">
        <v>0</v>
      </c>
      <c r="AN261" s="1767">
        <v>0</v>
      </c>
      <c r="AO261" s="1767">
        <v>0</v>
      </c>
      <c r="AP261" s="1767">
        <v>0</v>
      </c>
      <c r="AQ261" s="1767">
        <v>0</v>
      </c>
      <c r="AR261" s="1767">
        <v>0</v>
      </c>
      <c r="AS261" s="1767">
        <v>0</v>
      </c>
      <c r="AT261" s="1767">
        <v>0</v>
      </c>
      <c r="AU261" s="1767">
        <v>0</v>
      </c>
      <c r="AV261" s="1767">
        <v>0</v>
      </c>
      <c r="AW261" s="1767">
        <v>0</v>
      </c>
      <c r="AX261" s="1767">
        <v>0</v>
      </c>
      <c r="AY261" s="1767">
        <v>0</v>
      </c>
      <c r="AZ261" s="1767">
        <v>0</v>
      </c>
      <c r="BA261" s="1767">
        <v>0</v>
      </c>
      <c r="BB261" s="1767">
        <v>0</v>
      </c>
      <c r="BC261" s="1767">
        <v>0</v>
      </c>
      <c r="BD261" s="1767">
        <v>0</v>
      </c>
      <c r="BE261" s="1767">
        <v>0</v>
      </c>
      <c r="BF261" s="1767">
        <v>0</v>
      </c>
      <c r="BG261" s="1767">
        <v>0</v>
      </c>
      <c r="BH261" s="1767">
        <v>0</v>
      </c>
      <c r="BI261" s="1767">
        <v>0</v>
      </c>
      <c r="BJ261" s="1767">
        <v>0</v>
      </c>
      <c r="BK261" s="1767">
        <v>0</v>
      </c>
      <c r="BL261" s="1767">
        <v>0</v>
      </c>
      <c r="BM261" s="1767">
        <v>0</v>
      </c>
      <c r="BN261" s="1767">
        <v>0</v>
      </c>
      <c r="BO261" s="1767">
        <v>0</v>
      </c>
      <c r="BP261" s="1767">
        <v>0</v>
      </c>
      <c r="BQ261" s="1767">
        <v>0</v>
      </c>
      <c r="BR261" s="1767">
        <v>0</v>
      </c>
      <c r="BS261" s="1767">
        <v>0</v>
      </c>
      <c r="BT261" s="1767">
        <v>0</v>
      </c>
      <c r="BU261" s="1767">
        <v>0</v>
      </c>
      <c r="BV261" s="1767">
        <v>0</v>
      </c>
      <c r="BW261" s="1767">
        <v>0</v>
      </c>
      <c r="BX261" s="1767">
        <v>0</v>
      </c>
      <c r="BY261" s="1767">
        <v>0</v>
      </c>
      <c r="BZ261" s="1767">
        <v>0</v>
      </c>
      <c r="CA261" s="1767">
        <v>0</v>
      </c>
      <c r="CB261" s="1767">
        <v>0</v>
      </c>
      <c r="CC261" s="1767">
        <v>0</v>
      </c>
      <c r="CD261" s="1767">
        <v>0</v>
      </c>
      <c r="CE261" s="1767">
        <v>0</v>
      </c>
      <c r="CF261" s="1767">
        <v>0</v>
      </c>
      <c r="CG261" s="1767">
        <v>0</v>
      </c>
      <c r="CH261" s="1767">
        <v>0</v>
      </c>
      <c r="CI261" s="1767">
        <v>0</v>
      </c>
      <c r="CJ261" s="1767">
        <v>0</v>
      </c>
      <c r="CK261" s="1767">
        <v>0</v>
      </c>
      <c r="CL261" s="1767">
        <v>0</v>
      </c>
      <c r="CM261" s="1767">
        <v>0</v>
      </c>
      <c r="CN261" s="1767">
        <v>0</v>
      </c>
      <c r="CO261" s="1767">
        <v>0</v>
      </c>
      <c r="CP261" s="1767">
        <v>0</v>
      </c>
    </row>
    <row r="262" spans="1:94" s="2" customFormat="1" ht="30" customHeight="1" thickBot="1" x14ac:dyDescent="0.25">
      <c r="A262" s="1849" t="s">
        <v>165</v>
      </c>
      <c r="B262" s="1898" t="s">
        <v>2330</v>
      </c>
      <c r="C262" s="1777" t="s">
        <v>2262</v>
      </c>
      <c r="D262" s="947"/>
      <c r="E262" s="1876" t="s">
        <v>2052</v>
      </c>
      <c r="F262" s="1226"/>
      <c r="G262" s="1742"/>
      <c r="H262" s="1742"/>
      <c r="I262" s="1742"/>
      <c r="J262" s="1742"/>
      <c r="K262" s="1742"/>
      <c r="L262" s="1742"/>
      <c r="M262" s="1742"/>
      <c r="N262" s="1742"/>
      <c r="O262" s="1742"/>
      <c r="P262" s="1742"/>
      <c r="Q262" s="1742"/>
      <c r="R262" s="1742"/>
      <c r="S262" s="1742"/>
      <c r="T262" s="1742"/>
      <c r="U262" s="1742"/>
      <c r="V262" s="1742"/>
      <c r="W262" s="1742"/>
      <c r="X262" s="1742"/>
      <c r="Y262" s="1742"/>
      <c r="Z262" s="1742"/>
      <c r="AA262" s="1742"/>
      <c r="AB262" s="1742"/>
      <c r="AC262" s="1742"/>
      <c r="AD262" s="1742"/>
      <c r="AE262" s="1742"/>
      <c r="AF262" s="1742"/>
      <c r="AG262" s="1742"/>
      <c r="AH262" s="1742"/>
      <c r="AI262" s="1742"/>
      <c r="AJ262" s="1742"/>
      <c r="AK262" s="1742"/>
      <c r="AL262" s="1742"/>
      <c r="AM262" s="1742"/>
      <c r="AN262" s="1742"/>
      <c r="AO262" s="1742"/>
      <c r="AP262" s="1742"/>
      <c r="AQ262" s="1742"/>
      <c r="AR262" s="1742"/>
      <c r="AS262" s="1742"/>
      <c r="AT262" s="1742"/>
      <c r="AU262" s="1742"/>
      <c r="AV262" s="1742"/>
      <c r="AW262" s="1742"/>
      <c r="AX262" s="1742"/>
      <c r="AY262" s="1742"/>
      <c r="AZ262" s="1742"/>
      <c r="BA262" s="1742"/>
      <c r="BB262" s="1742"/>
      <c r="BC262" s="1742"/>
      <c r="BD262" s="1742"/>
      <c r="BE262" s="1742"/>
      <c r="BF262" s="1742"/>
      <c r="BG262" s="1742"/>
      <c r="BH262" s="1742"/>
      <c r="BI262" s="1742"/>
      <c r="BJ262" s="1742"/>
      <c r="BK262" s="1742"/>
      <c r="BL262" s="1742"/>
      <c r="BM262" s="1742"/>
      <c r="BN262" s="1742"/>
      <c r="BO262" s="1742"/>
      <c r="BP262" s="1742"/>
      <c r="BQ262" s="1742"/>
      <c r="BR262" s="1742"/>
      <c r="BS262" s="1742"/>
      <c r="BT262" s="1742"/>
      <c r="BU262" s="1742"/>
      <c r="BV262" s="1742"/>
      <c r="BW262" s="1742"/>
      <c r="BX262" s="1742"/>
      <c r="BY262" s="1742"/>
      <c r="BZ262" s="1742"/>
      <c r="CA262" s="1742"/>
      <c r="CB262" s="1742"/>
      <c r="CC262" s="1742"/>
      <c r="CD262" s="1742"/>
      <c r="CE262" s="1742"/>
      <c r="CF262" s="1742"/>
      <c r="CG262" s="1742"/>
      <c r="CH262" s="1742"/>
      <c r="CI262" s="1742"/>
      <c r="CJ262" s="1742"/>
      <c r="CK262" s="1742"/>
      <c r="CL262" s="1742"/>
      <c r="CM262" s="1742"/>
      <c r="CN262" s="1742"/>
      <c r="CO262" s="1742"/>
      <c r="CP262" s="1742"/>
    </row>
    <row r="263" spans="1:94" s="2" customFormat="1" ht="15" customHeight="1" x14ac:dyDescent="0.2">
      <c r="A263" s="1847"/>
      <c r="B263" s="1899"/>
      <c r="C263" s="660" t="s">
        <v>67</v>
      </c>
      <c r="D263" s="936"/>
      <c r="E263" s="1866"/>
      <c r="F263" s="1226"/>
      <c r="G263" s="1767">
        <v>0</v>
      </c>
      <c r="H263" s="1767">
        <v>0</v>
      </c>
      <c r="I263" s="1767">
        <v>0</v>
      </c>
      <c r="J263" s="1767">
        <v>0</v>
      </c>
      <c r="K263" s="1767">
        <v>0</v>
      </c>
      <c r="L263" s="1767">
        <v>0</v>
      </c>
      <c r="M263" s="1767">
        <v>0</v>
      </c>
      <c r="N263" s="1767">
        <v>0</v>
      </c>
      <c r="O263" s="1767">
        <v>0</v>
      </c>
      <c r="P263" s="1767">
        <v>0</v>
      </c>
      <c r="Q263" s="1767">
        <v>0</v>
      </c>
      <c r="R263" s="1767">
        <v>0</v>
      </c>
      <c r="S263" s="1767">
        <v>0</v>
      </c>
      <c r="T263" s="1767">
        <v>0</v>
      </c>
      <c r="U263" s="1767">
        <v>0</v>
      </c>
      <c r="V263" s="1767">
        <v>0</v>
      </c>
      <c r="W263" s="1767">
        <v>0</v>
      </c>
      <c r="X263" s="1767">
        <v>0</v>
      </c>
      <c r="Y263" s="1767">
        <v>0</v>
      </c>
      <c r="Z263" s="1767">
        <v>0</v>
      </c>
      <c r="AA263" s="1767">
        <v>0</v>
      </c>
      <c r="AB263" s="1767">
        <v>0</v>
      </c>
      <c r="AC263" s="1767">
        <v>0</v>
      </c>
      <c r="AD263" s="1767">
        <v>0</v>
      </c>
      <c r="AE263" s="1767">
        <v>0</v>
      </c>
      <c r="AF263" s="1767">
        <v>0</v>
      </c>
      <c r="AG263" s="1767">
        <v>0</v>
      </c>
      <c r="AH263" s="1767">
        <v>0</v>
      </c>
      <c r="AI263" s="1767">
        <v>0</v>
      </c>
      <c r="AJ263" s="1767">
        <v>0</v>
      </c>
      <c r="AK263" s="1767">
        <v>0</v>
      </c>
      <c r="AL263" s="1767">
        <v>0</v>
      </c>
      <c r="AM263" s="1767">
        <v>0</v>
      </c>
      <c r="AN263" s="1767">
        <v>0</v>
      </c>
      <c r="AO263" s="1767">
        <v>0</v>
      </c>
      <c r="AP263" s="1767">
        <v>0</v>
      </c>
      <c r="AQ263" s="1767">
        <v>0</v>
      </c>
      <c r="AR263" s="1767">
        <v>0</v>
      </c>
      <c r="AS263" s="1767">
        <v>0</v>
      </c>
      <c r="AT263" s="1767">
        <v>0</v>
      </c>
      <c r="AU263" s="1767">
        <v>0</v>
      </c>
      <c r="AV263" s="1767">
        <v>0</v>
      </c>
      <c r="AW263" s="1767">
        <v>0</v>
      </c>
      <c r="AX263" s="1767">
        <v>0</v>
      </c>
      <c r="AY263" s="1767">
        <v>0</v>
      </c>
      <c r="AZ263" s="1767">
        <v>0</v>
      </c>
      <c r="BA263" s="1767">
        <v>0</v>
      </c>
      <c r="BB263" s="1767">
        <v>0</v>
      </c>
      <c r="BC263" s="1767">
        <v>0</v>
      </c>
      <c r="BD263" s="1767">
        <v>0</v>
      </c>
      <c r="BE263" s="1767">
        <v>0</v>
      </c>
      <c r="BF263" s="1767">
        <v>0</v>
      </c>
      <c r="BG263" s="1767">
        <v>0</v>
      </c>
      <c r="BH263" s="1767">
        <v>0</v>
      </c>
      <c r="BI263" s="1767">
        <v>0</v>
      </c>
      <c r="BJ263" s="1767">
        <v>0</v>
      </c>
      <c r="BK263" s="1767">
        <v>0</v>
      </c>
      <c r="BL263" s="1767">
        <v>0</v>
      </c>
      <c r="BM263" s="1767">
        <v>0</v>
      </c>
      <c r="BN263" s="1767">
        <v>0</v>
      </c>
      <c r="BO263" s="1767">
        <v>0</v>
      </c>
      <c r="BP263" s="1767">
        <v>0</v>
      </c>
      <c r="BQ263" s="1767">
        <v>0</v>
      </c>
      <c r="BR263" s="1767">
        <v>0</v>
      </c>
      <c r="BS263" s="1767">
        <v>0</v>
      </c>
      <c r="BT263" s="1767">
        <v>0</v>
      </c>
      <c r="BU263" s="1767">
        <v>0</v>
      </c>
      <c r="BV263" s="1767">
        <v>0</v>
      </c>
      <c r="BW263" s="1767">
        <v>0</v>
      </c>
      <c r="BX263" s="1767">
        <v>0</v>
      </c>
      <c r="BY263" s="1767">
        <v>0</v>
      </c>
      <c r="BZ263" s="1767">
        <v>0</v>
      </c>
      <c r="CA263" s="1767">
        <v>0</v>
      </c>
      <c r="CB263" s="1767">
        <v>0</v>
      </c>
      <c r="CC263" s="1767">
        <v>0</v>
      </c>
      <c r="CD263" s="1767">
        <v>0</v>
      </c>
      <c r="CE263" s="1767">
        <v>0</v>
      </c>
      <c r="CF263" s="1767">
        <v>0</v>
      </c>
      <c r="CG263" s="1767">
        <v>0</v>
      </c>
      <c r="CH263" s="1767">
        <v>0</v>
      </c>
      <c r="CI263" s="1767">
        <v>0</v>
      </c>
      <c r="CJ263" s="1767">
        <v>0</v>
      </c>
      <c r="CK263" s="1767">
        <v>0</v>
      </c>
      <c r="CL263" s="1767">
        <v>0</v>
      </c>
      <c r="CM263" s="1767">
        <v>0</v>
      </c>
      <c r="CN263" s="1767">
        <v>0</v>
      </c>
      <c r="CO263" s="1767">
        <v>0</v>
      </c>
      <c r="CP263" s="1767">
        <v>0</v>
      </c>
    </row>
    <row r="264" spans="1:94" s="2" customFormat="1" ht="15" customHeight="1" x14ac:dyDescent="0.2">
      <c r="A264" s="1847"/>
      <c r="B264" s="1899"/>
      <c r="C264" s="656" t="s">
        <v>2331</v>
      </c>
      <c r="D264" s="936"/>
      <c r="E264" s="1866"/>
      <c r="F264" s="1226"/>
      <c r="G264" s="1767">
        <v>0</v>
      </c>
      <c r="H264" s="1767">
        <v>0</v>
      </c>
      <c r="I264" s="1767">
        <v>0</v>
      </c>
      <c r="J264" s="1767">
        <v>0</v>
      </c>
      <c r="K264" s="1767">
        <v>0</v>
      </c>
      <c r="L264" s="1767">
        <v>0</v>
      </c>
      <c r="M264" s="1767">
        <v>0</v>
      </c>
      <c r="N264" s="1767">
        <v>0</v>
      </c>
      <c r="O264" s="1767">
        <v>0</v>
      </c>
      <c r="P264" s="1767">
        <v>0</v>
      </c>
      <c r="Q264" s="1767">
        <v>0</v>
      </c>
      <c r="R264" s="1767">
        <v>0</v>
      </c>
      <c r="S264" s="1767">
        <v>0</v>
      </c>
      <c r="T264" s="1767">
        <v>0</v>
      </c>
      <c r="U264" s="1767">
        <v>0</v>
      </c>
      <c r="V264" s="1767">
        <v>0</v>
      </c>
      <c r="W264" s="1767">
        <v>0</v>
      </c>
      <c r="X264" s="1767">
        <v>0</v>
      </c>
      <c r="Y264" s="1767">
        <v>0</v>
      </c>
      <c r="Z264" s="1767">
        <v>0</v>
      </c>
      <c r="AA264" s="1767">
        <v>0</v>
      </c>
      <c r="AB264" s="1767">
        <v>0</v>
      </c>
      <c r="AC264" s="1767">
        <v>0</v>
      </c>
      <c r="AD264" s="1767">
        <v>0</v>
      </c>
      <c r="AE264" s="1767">
        <v>0</v>
      </c>
      <c r="AF264" s="1767">
        <v>0</v>
      </c>
      <c r="AG264" s="1767">
        <v>0</v>
      </c>
      <c r="AH264" s="1767">
        <v>0</v>
      </c>
      <c r="AI264" s="1767">
        <v>0</v>
      </c>
      <c r="AJ264" s="1767">
        <v>0</v>
      </c>
      <c r="AK264" s="1767">
        <v>0</v>
      </c>
      <c r="AL264" s="1767">
        <v>0</v>
      </c>
      <c r="AM264" s="1767">
        <v>0</v>
      </c>
      <c r="AN264" s="1767">
        <v>0</v>
      </c>
      <c r="AO264" s="1767">
        <v>0</v>
      </c>
      <c r="AP264" s="1767">
        <v>0</v>
      </c>
      <c r="AQ264" s="1767">
        <v>0</v>
      </c>
      <c r="AR264" s="1767">
        <v>0</v>
      </c>
      <c r="AS264" s="1767">
        <v>0</v>
      </c>
      <c r="AT264" s="1767">
        <v>0</v>
      </c>
      <c r="AU264" s="1767">
        <v>0</v>
      </c>
      <c r="AV264" s="1767">
        <v>0</v>
      </c>
      <c r="AW264" s="1767">
        <v>0</v>
      </c>
      <c r="AX264" s="1767">
        <v>0</v>
      </c>
      <c r="AY264" s="1767">
        <v>0</v>
      </c>
      <c r="AZ264" s="1767">
        <v>0</v>
      </c>
      <c r="BA264" s="1767">
        <v>0</v>
      </c>
      <c r="BB264" s="1767">
        <v>0</v>
      </c>
      <c r="BC264" s="1767">
        <v>0</v>
      </c>
      <c r="BD264" s="1767">
        <v>0</v>
      </c>
      <c r="BE264" s="1767">
        <v>0</v>
      </c>
      <c r="BF264" s="1767">
        <v>0</v>
      </c>
      <c r="BG264" s="1767">
        <v>0</v>
      </c>
      <c r="BH264" s="1767">
        <v>0</v>
      </c>
      <c r="BI264" s="1767">
        <v>0</v>
      </c>
      <c r="BJ264" s="1767">
        <v>0</v>
      </c>
      <c r="BK264" s="1767">
        <v>0</v>
      </c>
      <c r="BL264" s="1767">
        <v>0</v>
      </c>
      <c r="BM264" s="1767">
        <v>0</v>
      </c>
      <c r="BN264" s="1767">
        <v>0</v>
      </c>
      <c r="BO264" s="1767">
        <v>0</v>
      </c>
      <c r="BP264" s="1767">
        <v>0</v>
      </c>
      <c r="BQ264" s="1767">
        <v>0</v>
      </c>
      <c r="BR264" s="1767">
        <v>0</v>
      </c>
      <c r="BS264" s="1767">
        <v>0</v>
      </c>
      <c r="BT264" s="1767">
        <v>0</v>
      </c>
      <c r="BU264" s="1767">
        <v>0</v>
      </c>
      <c r="BV264" s="1767">
        <v>0</v>
      </c>
      <c r="BW264" s="1767">
        <v>0</v>
      </c>
      <c r="BX264" s="1767">
        <v>0</v>
      </c>
      <c r="BY264" s="1767">
        <v>0</v>
      </c>
      <c r="BZ264" s="1767">
        <v>0</v>
      </c>
      <c r="CA264" s="1767">
        <v>0</v>
      </c>
      <c r="CB264" s="1767">
        <v>0</v>
      </c>
      <c r="CC264" s="1767">
        <v>0</v>
      </c>
      <c r="CD264" s="1767">
        <v>0</v>
      </c>
      <c r="CE264" s="1767">
        <v>0</v>
      </c>
      <c r="CF264" s="1767">
        <v>0</v>
      </c>
      <c r="CG264" s="1767">
        <v>0</v>
      </c>
      <c r="CH264" s="1767">
        <v>0</v>
      </c>
      <c r="CI264" s="1767">
        <v>0</v>
      </c>
      <c r="CJ264" s="1767">
        <v>0</v>
      </c>
      <c r="CK264" s="1767">
        <v>0</v>
      </c>
      <c r="CL264" s="1767">
        <v>0</v>
      </c>
      <c r="CM264" s="1767">
        <v>0</v>
      </c>
      <c r="CN264" s="1767">
        <v>0</v>
      </c>
      <c r="CO264" s="1767">
        <v>0</v>
      </c>
      <c r="CP264" s="1767">
        <v>0</v>
      </c>
    </row>
    <row r="265" spans="1:94" s="2" customFormat="1" ht="15" customHeight="1" x14ac:dyDescent="0.2">
      <c r="A265" s="1847"/>
      <c r="B265" s="1899"/>
      <c r="C265" s="656" t="s">
        <v>2332</v>
      </c>
      <c r="D265" s="936"/>
      <c r="E265" s="1866"/>
      <c r="F265" s="1226"/>
      <c r="G265" s="1767">
        <v>0</v>
      </c>
      <c r="H265" s="1767">
        <v>0</v>
      </c>
      <c r="I265" s="1767">
        <v>0</v>
      </c>
      <c r="J265" s="1767">
        <v>0</v>
      </c>
      <c r="K265" s="1767">
        <v>0</v>
      </c>
      <c r="L265" s="1767">
        <v>0</v>
      </c>
      <c r="M265" s="1767">
        <v>0</v>
      </c>
      <c r="N265" s="1767">
        <v>0</v>
      </c>
      <c r="O265" s="1767">
        <v>0</v>
      </c>
      <c r="P265" s="1767">
        <v>0</v>
      </c>
      <c r="Q265" s="1767">
        <v>0</v>
      </c>
      <c r="R265" s="1767">
        <v>0</v>
      </c>
      <c r="S265" s="1767">
        <v>0</v>
      </c>
      <c r="T265" s="1767">
        <v>0</v>
      </c>
      <c r="U265" s="1767">
        <v>0</v>
      </c>
      <c r="V265" s="1767">
        <v>0</v>
      </c>
      <c r="W265" s="1767">
        <v>0</v>
      </c>
      <c r="X265" s="1767">
        <v>0</v>
      </c>
      <c r="Y265" s="1767">
        <v>0</v>
      </c>
      <c r="Z265" s="1767">
        <v>0</v>
      </c>
      <c r="AA265" s="1767">
        <v>0</v>
      </c>
      <c r="AB265" s="1767">
        <v>0</v>
      </c>
      <c r="AC265" s="1767">
        <v>0</v>
      </c>
      <c r="AD265" s="1767">
        <v>0</v>
      </c>
      <c r="AE265" s="1767">
        <v>0</v>
      </c>
      <c r="AF265" s="1767">
        <v>0</v>
      </c>
      <c r="AG265" s="1767">
        <v>0</v>
      </c>
      <c r="AH265" s="1767">
        <v>0</v>
      </c>
      <c r="AI265" s="1767">
        <v>0</v>
      </c>
      <c r="AJ265" s="1767">
        <v>0</v>
      </c>
      <c r="AK265" s="1767">
        <v>0</v>
      </c>
      <c r="AL265" s="1767">
        <v>0</v>
      </c>
      <c r="AM265" s="1767">
        <v>0</v>
      </c>
      <c r="AN265" s="1767">
        <v>0</v>
      </c>
      <c r="AO265" s="1767">
        <v>0</v>
      </c>
      <c r="AP265" s="1767">
        <v>0</v>
      </c>
      <c r="AQ265" s="1767">
        <v>0</v>
      </c>
      <c r="AR265" s="1767">
        <v>0</v>
      </c>
      <c r="AS265" s="1767">
        <v>0</v>
      </c>
      <c r="AT265" s="1767">
        <v>0</v>
      </c>
      <c r="AU265" s="1767">
        <v>0</v>
      </c>
      <c r="AV265" s="1767">
        <v>0</v>
      </c>
      <c r="AW265" s="1767">
        <v>0</v>
      </c>
      <c r="AX265" s="1767">
        <v>0</v>
      </c>
      <c r="AY265" s="1767">
        <v>0</v>
      </c>
      <c r="AZ265" s="1767">
        <v>0</v>
      </c>
      <c r="BA265" s="1767">
        <v>0</v>
      </c>
      <c r="BB265" s="1767">
        <v>0</v>
      </c>
      <c r="BC265" s="1767">
        <v>0</v>
      </c>
      <c r="BD265" s="1767">
        <v>0</v>
      </c>
      <c r="BE265" s="1767">
        <v>0</v>
      </c>
      <c r="BF265" s="1767">
        <v>0</v>
      </c>
      <c r="BG265" s="1767">
        <v>0</v>
      </c>
      <c r="BH265" s="1767">
        <v>0</v>
      </c>
      <c r="BI265" s="1767">
        <v>0</v>
      </c>
      <c r="BJ265" s="1767">
        <v>0</v>
      </c>
      <c r="BK265" s="1767">
        <v>0</v>
      </c>
      <c r="BL265" s="1767">
        <v>0</v>
      </c>
      <c r="BM265" s="1767">
        <v>0</v>
      </c>
      <c r="BN265" s="1767">
        <v>0</v>
      </c>
      <c r="BO265" s="1767">
        <v>0</v>
      </c>
      <c r="BP265" s="1767">
        <v>0</v>
      </c>
      <c r="BQ265" s="1767">
        <v>0</v>
      </c>
      <c r="BR265" s="1767">
        <v>0</v>
      </c>
      <c r="BS265" s="1767">
        <v>0</v>
      </c>
      <c r="BT265" s="1767">
        <v>0</v>
      </c>
      <c r="BU265" s="1767">
        <v>0</v>
      </c>
      <c r="BV265" s="1767">
        <v>0</v>
      </c>
      <c r="BW265" s="1767">
        <v>0</v>
      </c>
      <c r="BX265" s="1767">
        <v>0</v>
      </c>
      <c r="BY265" s="1767">
        <v>0</v>
      </c>
      <c r="BZ265" s="1767">
        <v>0</v>
      </c>
      <c r="CA265" s="1767">
        <v>0</v>
      </c>
      <c r="CB265" s="1767">
        <v>0</v>
      </c>
      <c r="CC265" s="1767">
        <v>0</v>
      </c>
      <c r="CD265" s="1767">
        <v>0</v>
      </c>
      <c r="CE265" s="1767">
        <v>0</v>
      </c>
      <c r="CF265" s="1767">
        <v>0</v>
      </c>
      <c r="CG265" s="1767">
        <v>0</v>
      </c>
      <c r="CH265" s="1767">
        <v>0</v>
      </c>
      <c r="CI265" s="1767">
        <v>0</v>
      </c>
      <c r="CJ265" s="1767">
        <v>0</v>
      </c>
      <c r="CK265" s="1767">
        <v>0</v>
      </c>
      <c r="CL265" s="1767">
        <v>0</v>
      </c>
      <c r="CM265" s="1767">
        <v>0</v>
      </c>
      <c r="CN265" s="1767">
        <v>0</v>
      </c>
      <c r="CO265" s="1767">
        <v>0</v>
      </c>
      <c r="CP265" s="1767">
        <v>0</v>
      </c>
    </row>
    <row r="266" spans="1:94" s="2" customFormat="1" ht="15" customHeight="1" x14ac:dyDescent="0.2">
      <c r="A266" s="1847"/>
      <c r="B266" s="1899"/>
      <c r="C266" s="656" t="s">
        <v>2333</v>
      </c>
      <c r="D266" s="936"/>
      <c r="E266" s="1866"/>
      <c r="F266" s="1226"/>
      <c r="G266" s="1767">
        <v>0</v>
      </c>
      <c r="H266" s="1767">
        <v>0</v>
      </c>
      <c r="I266" s="1767">
        <v>0</v>
      </c>
      <c r="J266" s="1767">
        <v>0</v>
      </c>
      <c r="K266" s="1767">
        <v>0</v>
      </c>
      <c r="L266" s="1767">
        <v>0</v>
      </c>
      <c r="M266" s="1767">
        <v>0</v>
      </c>
      <c r="N266" s="1767">
        <v>0</v>
      </c>
      <c r="O266" s="1767">
        <v>0</v>
      </c>
      <c r="P266" s="1767">
        <v>0</v>
      </c>
      <c r="Q266" s="1767">
        <v>0</v>
      </c>
      <c r="R266" s="1767">
        <v>0</v>
      </c>
      <c r="S266" s="1767">
        <v>0</v>
      </c>
      <c r="T266" s="1767">
        <v>0</v>
      </c>
      <c r="U266" s="1767">
        <v>0</v>
      </c>
      <c r="V266" s="1767">
        <v>0</v>
      </c>
      <c r="W266" s="1767">
        <v>0</v>
      </c>
      <c r="X266" s="1767">
        <v>0</v>
      </c>
      <c r="Y266" s="1767">
        <v>0</v>
      </c>
      <c r="Z266" s="1767">
        <v>0</v>
      </c>
      <c r="AA266" s="1767">
        <v>0</v>
      </c>
      <c r="AB266" s="1767">
        <v>0</v>
      </c>
      <c r="AC266" s="1767">
        <v>0</v>
      </c>
      <c r="AD266" s="1767">
        <v>0</v>
      </c>
      <c r="AE266" s="1767">
        <v>0</v>
      </c>
      <c r="AF266" s="1767">
        <v>0</v>
      </c>
      <c r="AG266" s="1767">
        <v>0</v>
      </c>
      <c r="AH266" s="1767">
        <v>0</v>
      </c>
      <c r="AI266" s="1767">
        <v>0</v>
      </c>
      <c r="AJ266" s="1767">
        <v>0</v>
      </c>
      <c r="AK266" s="1767">
        <v>0</v>
      </c>
      <c r="AL266" s="1767">
        <v>0</v>
      </c>
      <c r="AM266" s="1767">
        <v>0</v>
      </c>
      <c r="AN266" s="1767">
        <v>0</v>
      </c>
      <c r="AO266" s="1767">
        <v>0</v>
      </c>
      <c r="AP266" s="1767">
        <v>0</v>
      </c>
      <c r="AQ266" s="1767">
        <v>0</v>
      </c>
      <c r="AR266" s="1767">
        <v>0</v>
      </c>
      <c r="AS266" s="1767">
        <v>0</v>
      </c>
      <c r="AT266" s="1767">
        <v>0</v>
      </c>
      <c r="AU266" s="1767">
        <v>0</v>
      </c>
      <c r="AV266" s="1767">
        <v>0</v>
      </c>
      <c r="AW266" s="1767">
        <v>0</v>
      </c>
      <c r="AX266" s="1767">
        <v>0</v>
      </c>
      <c r="AY266" s="1767">
        <v>0</v>
      </c>
      <c r="AZ266" s="1767">
        <v>0</v>
      </c>
      <c r="BA266" s="1767">
        <v>0</v>
      </c>
      <c r="BB266" s="1767">
        <v>0</v>
      </c>
      <c r="BC266" s="1767">
        <v>0</v>
      </c>
      <c r="BD266" s="1767">
        <v>0</v>
      </c>
      <c r="BE266" s="1767">
        <v>0</v>
      </c>
      <c r="BF266" s="1767">
        <v>0</v>
      </c>
      <c r="BG266" s="1767">
        <v>0</v>
      </c>
      <c r="BH266" s="1767">
        <v>0</v>
      </c>
      <c r="BI266" s="1767">
        <v>0</v>
      </c>
      <c r="BJ266" s="1767">
        <v>0</v>
      </c>
      <c r="BK266" s="1767">
        <v>0</v>
      </c>
      <c r="BL266" s="1767">
        <v>0</v>
      </c>
      <c r="BM266" s="1767">
        <v>0</v>
      </c>
      <c r="BN266" s="1767">
        <v>0</v>
      </c>
      <c r="BO266" s="1767">
        <v>0</v>
      </c>
      <c r="BP266" s="1767">
        <v>0</v>
      </c>
      <c r="BQ266" s="1767">
        <v>0</v>
      </c>
      <c r="BR266" s="1767">
        <v>0</v>
      </c>
      <c r="BS266" s="1767">
        <v>0</v>
      </c>
      <c r="BT266" s="1767">
        <v>0</v>
      </c>
      <c r="BU266" s="1767">
        <v>0</v>
      </c>
      <c r="BV266" s="1767">
        <v>0</v>
      </c>
      <c r="BW266" s="1767">
        <v>0</v>
      </c>
      <c r="BX266" s="1767">
        <v>0</v>
      </c>
      <c r="BY266" s="1767">
        <v>0</v>
      </c>
      <c r="BZ266" s="1767">
        <v>0</v>
      </c>
      <c r="CA266" s="1767">
        <v>0</v>
      </c>
      <c r="CB266" s="1767">
        <v>0</v>
      </c>
      <c r="CC266" s="1767">
        <v>0</v>
      </c>
      <c r="CD266" s="1767">
        <v>0</v>
      </c>
      <c r="CE266" s="1767">
        <v>0</v>
      </c>
      <c r="CF266" s="1767">
        <v>0</v>
      </c>
      <c r="CG266" s="1767">
        <v>0</v>
      </c>
      <c r="CH266" s="1767">
        <v>0</v>
      </c>
      <c r="CI266" s="1767">
        <v>0</v>
      </c>
      <c r="CJ266" s="1767">
        <v>0</v>
      </c>
      <c r="CK266" s="1767">
        <v>0</v>
      </c>
      <c r="CL266" s="1767">
        <v>0</v>
      </c>
      <c r="CM266" s="1767">
        <v>0</v>
      </c>
      <c r="CN266" s="1767">
        <v>0</v>
      </c>
      <c r="CO266" s="1767">
        <v>0</v>
      </c>
      <c r="CP266" s="1767">
        <v>0</v>
      </c>
    </row>
    <row r="267" spans="1:94" s="2" customFormat="1" ht="15" customHeight="1" x14ac:dyDescent="0.2">
      <c r="A267" s="1847"/>
      <c r="B267" s="1899"/>
      <c r="C267" s="656" t="s">
        <v>2130</v>
      </c>
      <c r="D267" s="936"/>
      <c r="E267" s="1866"/>
      <c r="F267" s="1226"/>
      <c r="G267" s="1767">
        <v>0</v>
      </c>
      <c r="H267" s="1767">
        <v>0</v>
      </c>
      <c r="I267" s="1767">
        <v>0</v>
      </c>
      <c r="J267" s="1767">
        <v>0</v>
      </c>
      <c r="K267" s="1767">
        <v>0</v>
      </c>
      <c r="L267" s="1767">
        <v>0</v>
      </c>
      <c r="M267" s="1767">
        <v>0</v>
      </c>
      <c r="N267" s="1767">
        <v>0</v>
      </c>
      <c r="O267" s="1767">
        <v>0</v>
      </c>
      <c r="P267" s="1767">
        <v>0</v>
      </c>
      <c r="Q267" s="1767">
        <v>0</v>
      </c>
      <c r="R267" s="1767">
        <v>0</v>
      </c>
      <c r="S267" s="1767">
        <v>0</v>
      </c>
      <c r="T267" s="1767">
        <v>0</v>
      </c>
      <c r="U267" s="1767">
        <v>0</v>
      </c>
      <c r="V267" s="1767">
        <v>0</v>
      </c>
      <c r="W267" s="1767">
        <v>0</v>
      </c>
      <c r="X267" s="1767">
        <v>0</v>
      </c>
      <c r="Y267" s="1767">
        <v>0</v>
      </c>
      <c r="Z267" s="1767">
        <v>0</v>
      </c>
      <c r="AA267" s="1767">
        <v>0</v>
      </c>
      <c r="AB267" s="1767">
        <v>0</v>
      </c>
      <c r="AC267" s="1767">
        <v>0</v>
      </c>
      <c r="AD267" s="1767">
        <v>0</v>
      </c>
      <c r="AE267" s="1767">
        <v>0</v>
      </c>
      <c r="AF267" s="1767">
        <v>0</v>
      </c>
      <c r="AG267" s="1767">
        <v>0</v>
      </c>
      <c r="AH267" s="1767">
        <v>0</v>
      </c>
      <c r="AI267" s="1767">
        <v>0</v>
      </c>
      <c r="AJ267" s="1767">
        <v>0</v>
      </c>
      <c r="AK267" s="1767">
        <v>0</v>
      </c>
      <c r="AL267" s="1767">
        <v>0</v>
      </c>
      <c r="AM267" s="1767">
        <v>0</v>
      </c>
      <c r="AN267" s="1767">
        <v>0</v>
      </c>
      <c r="AO267" s="1767">
        <v>0</v>
      </c>
      <c r="AP267" s="1767">
        <v>0</v>
      </c>
      <c r="AQ267" s="1767">
        <v>0</v>
      </c>
      <c r="AR267" s="1767">
        <v>0</v>
      </c>
      <c r="AS267" s="1767">
        <v>0</v>
      </c>
      <c r="AT267" s="1767">
        <v>0</v>
      </c>
      <c r="AU267" s="1767">
        <v>0</v>
      </c>
      <c r="AV267" s="1767">
        <v>0</v>
      </c>
      <c r="AW267" s="1767">
        <v>0</v>
      </c>
      <c r="AX267" s="1767">
        <v>0</v>
      </c>
      <c r="AY267" s="1767">
        <v>0</v>
      </c>
      <c r="AZ267" s="1767">
        <v>0</v>
      </c>
      <c r="BA267" s="1767">
        <v>0</v>
      </c>
      <c r="BB267" s="1767">
        <v>0</v>
      </c>
      <c r="BC267" s="1767">
        <v>0</v>
      </c>
      <c r="BD267" s="1767">
        <v>0</v>
      </c>
      <c r="BE267" s="1767">
        <v>0</v>
      </c>
      <c r="BF267" s="1767">
        <v>0</v>
      </c>
      <c r="BG267" s="1767">
        <v>0</v>
      </c>
      <c r="BH267" s="1767">
        <v>0</v>
      </c>
      <c r="BI267" s="1767">
        <v>0</v>
      </c>
      <c r="BJ267" s="1767">
        <v>0</v>
      </c>
      <c r="BK267" s="1767">
        <v>0</v>
      </c>
      <c r="BL267" s="1767">
        <v>0</v>
      </c>
      <c r="BM267" s="1767">
        <v>0</v>
      </c>
      <c r="BN267" s="1767">
        <v>0</v>
      </c>
      <c r="BO267" s="1767">
        <v>0</v>
      </c>
      <c r="BP267" s="1767">
        <v>0</v>
      </c>
      <c r="BQ267" s="1767">
        <v>0</v>
      </c>
      <c r="BR267" s="1767">
        <v>0</v>
      </c>
      <c r="BS267" s="1767">
        <v>0</v>
      </c>
      <c r="BT267" s="1767">
        <v>0</v>
      </c>
      <c r="BU267" s="1767">
        <v>0</v>
      </c>
      <c r="BV267" s="1767">
        <v>0</v>
      </c>
      <c r="BW267" s="1767">
        <v>0</v>
      </c>
      <c r="BX267" s="1767">
        <v>0</v>
      </c>
      <c r="BY267" s="1767">
        <v>0</v>
      </c>
      <c r="BZ267" s="1767">
        <v>0</v>
      </c>
      <c r="CA267" s="1767">
        <v>0</v>
      </c>
      <c r="CB267" s="1767">
        <v>0</v>
      </c>
      <c r="CC267" s="1767">
        <v>0</v>
      </c>
      <c r="CD267" s="1767">
        <v>0</v>
      </c>
      <c r="CE267" s="1767">
        <v>0</v>
      </c>
      <c r="CF267" s="1767">
        <v>0</v>
      </c>
      <c r="CG267" s="1767">
        <v>0</v>
      </c>
      <c r="CH267" s="1767">
        <v>0</v>
      </c>
      <c r="CI267" s="1767">
        <v>0</v>
      </c>
      <c r="CJ267" s="1767">
        <v>0</v>
      </c>
      <c r="CK267" s="1767">
        <v>0</v>
      </c>
      <c r="CL267" s="1767">
        <v>0</v>
      </c>
      <c r="CM267" s="1767">
        <v>0</v>
      </c>
      <c r="CN267" s="1767">
        <v>0</v>
      </c>
      <c r="CO267" s="1767">
        <v>0</v>
      </c>
      <c r="CP267" s="1767">
        <v>0</v>
      </c>
    </row>
    <row r="268" spans="1:94" s="2" customFormat="1" ht="15" customHeight="1" thickBot="1" x14ac:dyDescent="0.25">
      <c r="A268" s="1848"/>
      <c r="B268" s="1900"/>
      <c r="C268" s="944" t="s">
        <v>2334</v>
      </c>
      <c r="D268" s="950"/>
      <c r="E268" s="1877"/>
      <c r="F268" s="1226"/>
      <c r="G268" s="1767">
        <v>0</v>
      </c>
      <c r="H268" s="1767">
        <v>0</v>
      </c>
      <c r="I268" s="1767">
        <v>0</v>
      </c>
      <c r="J268" s="1767">
        <v>0</v>
      </c>
      <c r="K268" s="1767">
        <v>0</v>
      </c>
      <c r="L268" s="1767">
        <v>0</v>
      </c>
      <c r="M268" s="1767">
        <v>0</v>
      </c>
      <c r="N268" s="1767">
        <v>0</v>
      </c>
      <c r="O268" s="1767">
        <v>0</v>
      </c>
      <c r="P268" s="1767">
        <v>0</v>
      </c>
      <c r="Q268" s="1767">
        <v>0</v>
      </c>
      <c r="R268" s="1767">
        <v>0</v>
      </c>
      <c r="S268" s="1767">
        <v>0</v>
      </c>
      <c r="T268" s="1767">
        <v>0</v>
      </c>
      <c r="U268" s="1767">
        <v>0</v>
      </c>
      <c r="V268" s="1767">
        <v>0</v>
      </c>
      <c r="W268" s="1767">
        <v>0</v>
      </c>
      <c r="X268" s="1767">
        <v>0</v>
      </c>
      <c r="Y268" s="1767">
        <v>0</v>
      </c>
      <c r="Z268" s="1767">
        <v>0</v>
      </c>
      <c r="AA268" s="1767">
        <v>0</v>
      </c>
      <c r="AB268" s="1767">
        <v>0</v>
      </c>
      <c r="AC268" s="1767">
        <v>0</v>
      </c>
      <c r="AD268" s="1767">
        <v>0</v>
      </c>
      <c r="AE268" s="1767">
        <v>0</v>
      </c>
      <c r="AF268" s="1767">
        <v>0</v>
      </c>
      <c r="AG268" s="1767">
        <v>0</v>
      </c>
      <c r="AH268" s="1767">
        <v>0</v>
      </c>
      <c r="AI268" s="1767">
        <v>0</v>
      </c>
      <c r="AJ268" s="1767">
        <v>0</v>
      </c>
      <c r="AK268" s="1767">
        <v>0</v>
      </c>
      <c r="AL268" s="1767">
        <v>0</v>
      </c>
      <c r="AM268" s="1767">
        <v>0</v>
      </c>
      <c r="AN268" s="1767">
        <v>0</v>
      </c>
      <c r="AO268" s="1767">
        <v>0</v>
      </c>
      <c r="AP268" s="1767">
        <v>0</v>
      </c>
      <c r="AQ268" s="1767">
        <v>0</v>
      </c>
      <c r="AR268" s="1767">
        <v>0</v>
      </c>
      <c r="AS268" s="1767">
        <v>0</v>
      </c>
      <c r="AT268" s="1767">
        <v>0</v>
      </c>
      <c r="AU268" s="1767">
        <v>0</v>
      </c>
      <c r="AV268" s="1767">
        <v>0</v>
      </c>
      <c r="AW268" s="1767">
        <v>0</v>
      </c>
      <c r="AX268" s="1767">
        <v>0</v>
      </c>
      <c r="AY268" s="1767">
        <v>0</v>
      </c>
      <c r="AZ268" s="1767">
        <v>0</v>
      </c>
      <c r="BA268" s="1767">
        <v>0</v>
      </c>
      <c r="BB268" s="1767">
        <v>0</v>
      </c>
      <c r="BC268" s="1767">
        <v>0</v>
      </c>
      <c r="BD268" s="1767">
        <v>0</v>
      </c>
      <c r="BE268" s="1767">
        <v>0</v>
      </c>
      <c r="BF268" s="1767">
        <v>0</v>
      </c>
      <c r="BG268" s="1767">
        <v>0</v>
      </c>
      <c r="BH268" s="1767">
        <v>0</v>
      </c>
      <c r="BI268" s="1767">
        <v>0</v>
      </c>
      <c r="BJ268" s="1767">
        <v>0</v>
      </c>
      <c r="BK268" s="1767">
        <v>0</v>
      </c>
      <c r="BL268" s="1767">
        <v>0</v>
      </c>
      <c r="BM268" s="1767">
        <v>0</v>
      </c>
      <c r="BN268" s="1767">
        <v>0</v>
      </c>
      <c r="BO268" s="1767">
        <v>0</v>
      </c>
      <c r="BP268" s="1767">
        <v>0</v>
      </c>
      <c r="BQ268" s="1767">
        <v>0</v>
      </c>
      <c r="BR268" s="1767">
        <v>0</v>
      </c>
      <c r="BS268" s="1767">
        <v>0</v>
      </c>
      <c r="BT268" s="1767">
        <v>0</v>
      </c>
      <c r="BU268" s="1767">
        <v>0</v>
      </c>
      <c r="BV268" s="1767">
        <v>0</v>
      </c>
      <c r="BW268" s="1767">
        <v>0</v>
      </c>
      <c r="BX268" s="1767">
        <v>0</v>
      </c>
      <c r="BY268" s="1767">
        <v>0</v>
      </c>
      <c r="BZ268" s="1767">
        <v>0</v>
      </c>
      <c r="CA268" s="1767">
        <v>0</v>
      </c>
      <c r="CB268" s="1767">
        <v>0</v>
      </c>
      <c r="CC268" s="1767">
        <v>0</v>
      </c>
      <c r="CD268" s="1767">
        <v>0</v>
      </c>
      <c r="CE268" s="1767">
        <v>0</v>
      </c>
      <c r="CF268" s="1767">
        <v>0</v>
      </c>
      <c r="CG268" s="1767">
        <v>0</v>
      </c>
      <c r="CH268" s="1767">
        <v>0</v>
      </c>
      <c r="CI268" s="1767">
        <v>0</v>
      </c>
      <c r="CJ268" s="1767">
        <v>0</v>
      </c>
      <c r="CK268" s="1767">
        <v>0</v>
      </c>
      <c r="CL268" s="1767">
        <v>0</v>
      </c>
      <c r="CM268" s="1767">
        <v>0</v>
      </c>
      <c r="CN268" s="1767">
        <v>0</v>
      </c>
      <c r="CO268" s="1767">
        <v>0</v>
      </c>
      <c r="CP268" s="1767">
        <v>0</v>
      </c>
    </row>
    <row r="269" spans="1:94" s="2" customFormat="1" ht="21" customHeight="1" thickBot="1" x14ac:dyDescent="0.25">
      <c r="A269" s="1889" t="s">
        <v>34</v>
      </c>
      <c r="B269" s="1899" t="s">
        <v>1330</v>
      </c>
      <c r="C269" s="1787" t="s">
        <v>1722</v>
      </c>
      <c r="D269" s="946"/>
      <c r="E269" s="1866" t="s">
        <v>2067</v>
      </c>
      <c r="F269" s="1226"/>
      <c r="G269" s="1742"/>
      <c r="H269" s="1742"/>
      <c r="I269" s="1742"/>
      <c r="J269" s="1742"/>
      <c r="K269" s="1742"/>
      <c r="L269" s="1742"/>
      <c r="M269" s="1742"/>
      <c r="N269" s="1742"/>
      <c r="O269" s="1742"/>
      <c r="P269" s="1742"/>
      <c r="Q269" s="1742"/>
      <c r="R269" s="1742"/>
      <c r="S269" s="1742"/>
      <c r="T269" s="1742"/>
      <c r="U269" s="1742"/>
      <c r="V269" s="1742"/>
      <c r="W269" s="1742"/>
      <c r="X269" s="1742"/>
      <c r="Y269" s="1742"/>
      <c r="Z269" s="1742"/>
      <c r="AA269" s="1742"/>
      <c r="AB269" s="1742"/>
      <c r="AC269" s="1742"/>
      <c r="AD269" s="1742"/>
      <c r="AE269" s="1742"/>
      <c r="AF269" s="1742"/>
      <c r="AG269" s="1742"/>
      <c r="AH269" s="1742"/>
      <c r="AI269" s="1742"/>
      <c r="AJ269" s="1742"/>
      <c r="AK269" s="1742"/>
      <c r="AL269" s="1742"/>
      <c r="AM269" s="1742"/>
      <c r="AN269" s="1742"/>
      <c r="AO269" s="1742"/>
      <c r="AP269" s="1742"/>
      <c r="AQ269" s="1742"/>
      <c r="AR269" s="1742"/>
      <c r="AS269" s="1742"/>
      <c r="AT269" s="1742"/>
      <c r="AU269" s="1742"/>
      <c r="AV269" s="1742"/>
      <c r="AW269" s="1742"/>
      <c r="AX269" s="1742"/>
      <c r="AY269" s="1742"/>
      <c r="AZ269" s="1742"/>
      <c r="BA269" s="1742"/>
      <c r="BB269" s="1742"/>
      <c r="BC269" s="1742"/>
      <c r="BD269" s="1742"/>
      <c r="BE269" s="1742"/>
      <c r="BF269" s="1742"/>
      <c r="BG269" s="1742"/>
      <c r="BH269" s="1742"/>
      <c r="BI269" s="1742"/>
      <c r="BJ269" s="1742"/>
      <c r="BK269" s="1742"/>
      <c r="BL269" s="1742"/>
      <c r="BM269" s="1742"/>
      <c r="BN269" s="1742"/>
      <c r="BO269" s="1742"/>
      <c r="BP269" s="1742"/>
      <c r="BQ269" s="1742"/>
      <c r="BR269" s="1742"/>
      <c r="BS269" s="1742"/>
      <c r="BT269" s="1742"/>
      <c r="BU269" s="1742"/>
      <c r="BV269" s="1742"/>
      <c r="BW269" s="1742"/>
      <c r="BX269" s="1742"/>
      <c r="BY269" s="1742"/>
      <c r="BZ269" s="1742"/>
      <c r="CA269" s="1742"/>
      <c r="CB269" s="1742"/>
      <c r="CC269" s="1742"/>
      <c r="CD269" s="1742"/>
      <c r="CE269" s="1742"/>
      <c r="CF269" s="1742"/>
      <c r="CG269" s="1742"/>
      <c r="CH269" s="1742"/>
      <c r="CI269" s="1742"/>
      <c r="CJ269" s="1742"/>
      <c r="CK269" s="1742"/>
      <c r="CL269" s="1742"/>
      <c r="CM269" s="1742"/>
      <c r="CN269" s="1742"/>
      <c r="CO269" s="1742"/>
      <c r="CP269" s="1742"/>
    </row>
    <row r="270" spans="1:94" s="2" customFormat="1" ht="15" customHeight="1" x14ac:dyDescent="0.2">
      <c r="A270" s="1847"/>
      <c r="B270" s="1899"/>
      <c r="C270" s="655" t="s">
        <v>2131</v>
      </c>
      <c r="D270" s="936"/>
      <c r="E270" s="1866"/>
      <c r="F270" s="1226"/>
      <c r="G270" s="1767">
        <v>0</v>
      </c>
      <c r="H270" s="1767">
        <v>0</v>
      </c>
      <c r="I270" s="1767">
        <v>0</v>
      </c>
      <c r="J270" s="1767">
        <v>0</v>
      </c>
      <c r="K270" s="1767">
        <v>0</v>
      </c>
      <c r="L270" s="1767">
        <v>0</v>
      </c>
      <c r="M270" s="1767">
        <v>0</v>
      </c>
      <c r="N270" s="1767">
        <v>0</v>
      </c>
      <c r="O270" s="1767">
        <v>0</v>
      </c>
      <c r="P270" s="1767">
        <v>0</v>
      </c>
      <c r="Q270" s="1767">
        <v>0</v>
      </c>
      <c r="R270" s="1767">
        <v>0</v>
      </c>
      <c r="S270" s="1767">
        <v>0</v>
      </c>
      <c r="T270" s="1767">
        <v>0</v>
      </c>
      <c r="U270" s="1767">
        <v>0</v>
      </c>
      <c r="V270" s="1767">
        <v>0</v>
      </c>
      <c r="W270" s="1767">
        <v>0</v>
      </c>
      <c r="X270" s="1767">
        <v>0</v>
      </c>
      <c r="Y270" s="1767">
        <v>0</v>
      </c>
      <c r="Z270" s="1767">
        <v>0</v>
      </c>
      <c r="AA270" s="1767">
        <v>0</v>
      </c>
      <c r="AB270" s="1767">
        <v>0</v>
      </c>
      <c r="AC270" s="1767">
        <v>0</v>
      </c>
      <c r="AD270" s="1767">
        <v>0</v>
      </c>
      <c r="AE270" s="1767">
        <v>0</v>
      </c>
      <c r="AF270" s="1767">
        <v>0</v>
      </c>
      <c r="AG270" s="1767">
        <v>0</v>
      </c>
      <c r="AH270" s="1767">
        <v>0</v>
      </c>
      <c r="AI270" s="1767">
        <v>0</v>
      </c>
      <c r="AJ270" s="1767">
        <v>0</v>
      </c>
      <c r="AK270" s="1767">
        <v>0</v>
      </c>
      <c r="AL270" s="1767">
        <v>0</v>
      </c>
      <c r="AM270" s="1767">
        <v>0</v>
      </c>
      <c r="AN270" s="1767">
        <v>0</v>
      </c>
      <c r="AO270" s="1767">
        <v>0</v>
      </c>
      <c r="AP270" s="1767">
        <v>0</v>
      </c>
      <c r="AQ270" s="1767">
        <v>0</v>
      </c>
      <c r="AR270" s="1767">
        <v>0</v>
      </c>
      <c r="AS270" s="1767">
        <v>0</v>
      </c>
      <c r="AT270" s="1767">
        <v>0</v>
      </c>
      <c r="AU270" s="1767">
        <v>0</v>
      </c>
      <c r="AV270" s="1767">
        <v>0</v>
      </c>
      <c r="AW270" s="1767">
        <v>0</v>
      </c>
      <c r="AX270" s="1767">
        <v>0</v>
      </c>
      <c r="AY270" s="1767">
        <v>0</v>
      </c>
      <c r="AZ270" s="1767">
        <v>0</v>
      </c>
      <c r="BA270" s="1767">
        <v>0</v>
      </c>
      <c r="BB270" s="1767">
        <v>0</v>
      </c>
      <c r="BC270" s="1767">
        <v>0</v>
      </c>
      <c r="BD270" s="1767">
        <v>0</v>
      </c>
      <c r="BE270" s="1767">
        <v>0</v>
      </c>
      <c r="BF270" s="1767">
        <v>0</v>
      </c>
      <c r="BG270" s="1767">
        <v>0</v>
      </c>
      <c r="BH270" s="1767">
        <v>0</v>
      </c>
      <c r="BI270" s="1767">
        <v>0</v>
      </c>
      <c r="BJ270" s="1767">
        <v>0</v>
      </c>
      <c r="BK270" s="1767">
        <v>0</v>
      </c>
      <c r="BL270" s="1767">
        <v>0</v>
      </c>
      <c r="BM270" s="1767">
        <v>0</v>
      </c>
      <c r="BN270" s="1767">
        <v>0</v>
      </c>
      <c r="BO270" s="1767">
        <v>0</v>
      </c>
      <c r="BP270" s="1767">
        <v>0</v>
      </c>
      <c r="BQ270" s="1767">
        <v>0</v>
      </c>
      <c r="BR270" s="1767">
        <v>0</v>
      </c>
      <c r="BS270" s="1767">
        <v>0</v>
      </c>
      <c r="BT270" s="1767">
        <v>0</v>
      </c>
      <c r="BU270" s="1767">
        <v>0</v>
      </c>
      <c r="BV270" s="1767">
        <v>0</v>
      </c>
      <c r="BW270" s="1767">
        <v>0</v>
      </c>
      <c r="BX270" s="1767">
        <v>0</v>
      </c>
      <c r="BY270" s="1767">
        <v>0</v>
      </c>
      <c r="BZ270" s="1767">
        <v>0</v>
      </c>
      <c r="CA270" s="1767">
        <v>0</v>
      </c>
      <c r="CB270" s="1767">
        <v>0</v>
      </c>
      <c r="CC270" s="1767">
        <v>0</v>
      </c>
      <c r="CD270" s="1767">
        <v>0</v>
      </c>
      <c r="CE270" s="1767">
        <v>0</v>
      </c>
      <c r="CF270" s="1767">
        <v>0</v>
      </c>
      <c r="CG270" s="1767">
        <v>0</v>
      </c>
      <c r="CH270" s="1767">
        <v>0</v>
      </c>
      <c r="CI270" s="1767">
        <v>0</v>
      </c>
      <c r="CJ270" s="1767">
        <v>0</v>
      </c>
      <c r="CK270" s="1767">
        <v>0</v>
      </c>
      <c r="CL270" s="1767">
        <v>0</v>
      </c>
      <c r="CM270" s="1767">
        <v>0</v>
      </c>
      <c r="CN270" s="1767">
        <v>0</v>
      </c>
      <c r="CO270" s="1767">
        <v>0</v>
      </c>
      <c r="CP270" s="1767">
        <v>0</v>
      </c>
    </row>
    <row r="271" spans="1:94" s="2" customFormat="1" ht="15" customHeight="1" x14ac:dyDescent="0.2">
      <c r="A271" s="1847"/>
      <c r="B271" s="1899"/>
      <c r="C271" s="656" t="s">
        <v>2132</v>
      </c>
      <c r="D271" s="936"/>
      <c r="E271" s="1866"/>
      <c r="F271" s="1226"/>
      <c r="G271" s="1767">
        <v>0</v>
      </c>
      <c r="H271" s="1767">
        <v>0</v>
      </c>
      <c r="I271" s="1767">
        <v>0</v>
      </c>
      <c r="J271" s="1767">
        <v>0</v>
      </c>
      <c r="K271" s="1767">
        <v>0</v>
      </c>
      <c r="L271" s="1767">
        <v>0</v>
      </c>
      <c r="M271" s="1767">
        <v>0</v>
      </c>
      <c r="N271" s="1767">
        <v>0</v>
      </c>
      <c r="O271" s="1767">
        <v>0</v>
      </c>
      <c r="P271" s="1767">
        <v>0</v>
      </c>
      <c r="Q271" s="1767">
        <v>0</v>
      </c>
      <c r="R271" s="1767">
        <v>0</v>
      </c>
      <c r="S271" s="1767">
        <v>0</v>
      </c>
      <c r="T271" s="1767">
        <v>0</v>
      </c>
      <c r="U271" s="1767">
        <v>0</v>
      </c>
      <c r="V271" s="1767">
        <v>0</v>
      </c>
      <c r="W271" s="1767">
        <v>0</v>
      </c>
      <c r="X271" s="1767">
        <v>0</v>
      </c>
      <c r="Y271" s="1767">
        <v>0</v>
      </c>
      <c r="Z271" s="1767">
        <v>0</v>
      </c>
      <c r="AA271" s="1767">
        <v>0</v>
      </c>
      <c r="AB271" s="1767">
        <v>0</v>
      </c>
      <c r="AC271" s="1767">
        <v>0</v>
      </c>
      <c r="AD271" s="1767">
        <v>0</v>
      </c>
      <c r="AE271" s="1767">
        <v>0</v>
      </c>
      <c r="AF271" s="1767">
        <v>0</v>
      </c>
      <c r="AG271" s="1767">
        <v>0</v>
      </c>
      <c r="AH271" s="1767">
        <v>0</v>
      </c>
      <c r="AI271" s="1767">
        <v>0</v>
      </c>
      <c r="AJ271" s="1767">
        <v>0</v>
      </c>
      <c r="AK271" s="1767">
        <v>0</v>
      </c>
      <c r="AL271" s="1767">
        <v>0</v>
      </c>
      <c r="AM271" s="1767">
        <v>0</v>
      </c>
      <c r="AN271" s="1767">
        <v>0</v>
      </c>
      <c r="AO271" s="1767">
        <v>0</v>
      </c>
      <c r="AP271" s="1767">
        <v>0</v>
      </c>
      <c r="AQ271" s="1767">
        <v>0</v>
      </c>
      <c r="AR271" s="1767">
        <v>0</v>
      </c>
      <c r="AS271" s="1767">
        <v>0</v>
      </c>
      <c r="AT271" s="1767">
        <v>0</v>
      </c>
      <c r="AU271" s="1767">
        <v>0</v>
      </c>
      <c r="AV271" s="1767">
        <v>0</v>
      </c>
      <c r="AW271" s="1767">
        <v>0</v>
      </c>
      <c r="AX271" s="1767">
        <v>0</v>
      </c>
      <c r="AY271" s="1767">
        <v>0</v>
      </c>
      <c r="AZ271" s="1767">
        <v>0</v>
      </c>
      <c r="BA271" s="1767">
        <v>0</v>
      </c>
      <c r="BB271" s="1767">
        <v>0</v>
      </c>
      <c r="BC271" s="1767">
        <v>0</v>
      </c>
      <c r="BD271" s="1767">
        <v>0</v>
      </c>
      <c r="BE271" s="1767">
        <v>0</v>
      </c>
      <c r="BF271" s="1767">
        <v>0</v>
      </c>
      <c r="BG271" s="1767">
        <v>0</v>
      </c>
      <c r="BH271" s="1767">
        <v>0</v>
      </c>
      <c r="BI271" s="1767">
        <v>0</v>
      </c>
      <c r="BJ271" s="1767">
        <v>0</v>
      </c>
      <c r="BK271" s="1767">
        <v>0</v>
      </c>
      <c r="BL271" s="1767">
        <v>0</v>
      </c>
      <c r="BM271" s="1767">
        <v>0</v>
      </c>
      <c r="BN271" s="1767">
        <v>0</v>
      </c>
      <c r="BO271" s="1767">
        <v>0</v>
      </c>
      <c r="BP271" s="1767">
        <v>0</v>
      </c>
      <c r="BQ271" s="1767">
        <v>0</v>
      </c>
      <c r="BR271" s="1767">
        <v>0</v>
      </c>
      <c r="BS271" s="1767">
        <v>0</v>
      </c>
      <c r="BT271" s="1767">
        <v>0</v>
      </c>
      <c r="BU271" s="1767">
        <v>0</v>
      </c>
      <c r="BV271" s="1767">
        <v>0</v>
      </c>
      <c r="BW271" s="1767">
        <v>0</v>
      </c>
      <c r="BX271" s="1767">
        <v>0</v>
      </c>
      <c r="BY271" s="1767">
        <v>0</v>
      </c>
      <c r="BZ271" s="1767">
        <v>0</v>
      </c>
      <c r="CA271" s="1767">
        <v>0</v>
      </c>
      <c r="CB271" s="1767">
        <v>0</v>
      </c>
      <c r="CC271" s="1767">
        <v>0</v>
      </c>
      <c r="CD271" s="1767">
        <v>0</v>
      </c>
      <c r="CE271" s="1767">
        <v>0</v>
      </c>
      <c r="CF271" s="1767">
        <v>0</v>
      </c>
      <c r="CG271" s="1767">
        <v>0</v>
      </c>
      <c r="CH271" s="1767">
        <v>0</v>
      </c>
      <c r="CI271" s="1767">
        <v>0</v>
      </c>
      <c r="CJ271" s="1767">
        <v>0</v>
      </c>
      <c r="CK271" s="1767">
        <v>0</v>
      </c>
      <c r="CL271" s="1767">
        <v>0</v>
      </c>
      <c r="CM271" s="1767">
        <v>0</v>
      </c>
      <c r="CN271" s="1767">
        <v>0</v>
      </c>
      <c r="CO271" s="1767">
        <v>0</v>
      </c>
      <c r="CP271" s="1767">
        <v>0</v>
      </c>
    </row>
    <row r="272" spans="1:94" s="2" customFormat="1" ht="15" customHeight="1" x14ac:dyDescent="0.2">
      <c r="A272" s="1847"/>
      <c r="B272" s="1899"/>
      <c r="C272" s="656" t="s">
        <v>2133</v>
      </c>
      <c r="D272" s="936"/>
      <c r="E272" s="1866"/>
      <c r="F272" s="1226"/>
      <c r="G272" s="1767">
        <v>0</v>
      </c>
      <c r="H272" s="1767">
        <v>0</v>
      </c>
      <c r="I272" s="1767">
        <v>0</v>
      </c>
      <c r="J272" s="1767">
        <v>0</v>
      </c>
      <c r="K272" s="1767">
        <v>0</v>
      </c>
      <c r="L272" s="1767">
        <v>0</v>
      </c>
      <c r="M272" s="1767">
        <v>0</v>
      </c>
      <c r="N272" s="1767">
        <v>0</v>
      </c>
      <c r="O272" s="1767">
        <v>0</v>
      </c>
      <c r="P272" s="1767">
        <v>0</v>
      </c>
      <c r="Q272" s="1767">
        <v>0</v>
      </c>
      <c r="R272" s="1767">
        <v>0</v>
      </c>
      <c r="S272" s="1767">
        <v>0</v>
      </c>
      <c r="T272" s="1767">
        <v>0</v>
      </c>
      <c r="U272" s="1767">
        <v>0</v>
      </c>
      <c r="V272" s="1767">
        <v>0</v>
      </c>
      <c r="W272" s="1767">
        <v>0</v>
      </c>
      <c r="X272" s="1767">
        <v>0</v>
      </c>
      <c r="Y272" s="1767">
        <v>0</v>
      </c>
      <c r="Z272" s="1767">
        <v>0</v>
      </c>
      <c r="AA272" s="1767">
        <v>0</v>
      </c>
      <c r="AB272" s="1767">
        <v>0</v>
      </c>
      <c r="AC272" s="1767">
        <v>0</v>
      </c>
      <c r="AD272" s="1767">
        <v>0</v>
      </c>
      <c r="AE272" s="1767">
        <v>0</v>
      </c>
      <c r="AF272" s="1767">
        <v>0</v>
      </c>
      <c r="AG272" s="1767">
        <v>0</v>
      </c>
      <c r="AH272" s="1767">
        <v>0</v>
      </c>
      <c r="AI272" s="1767">
        <v>0</v>
      </c>
      <c r="AJ272" s="1767">
        <v>0</v>
      </c>
      <c r="AK272" s="1767">
        <v>0</v>
      </c>
      <c r="AL272" s="1767">
        <v>0</v>
      </c>
      <c r="AM272" s="1767">
        <v>0</v>
      </c>
      <c r="AN272" s="1767">
        <v>0</v>
      </c>
      <c r="AO272" s="1767">
        <v>0</v>
      </c>
      <c r="AP272" s="1767">
        <v>0</v>
      </c>
      <c r="AQ272" s="1767">
        <v>0</v>
      </c>
      <c r="AR272" s="1767">
        <v>0</v>
      </c>
      <c r="AS272" s="1767">
        <v>0</v>
      </c>
      <c r="AT272" s="1767">
        <v>0</v>
      </c>
      <c r="AU272" s="1767">
        <v>0</v>
      </c>
      <c r="AV272" s="1767">
        <v>0</v>
      </c>
      <c r="AW272" s="1767">
        <v>0</v>
      </c>
      <c r="AX272" s="1767">
        <v>0</v>
      </c>
      <c r="AY272" s="1767">
        <v>0</v>
      </c>
      <c r="AZ272" s="1767">
        <v>0</v>
      </c>
      <c r="BA272" s="1767">
        <v>0</v>
      </c>
      <c r="BB272" s="1767">
        <v>0</v>
      </c>
      <c r="BC272" s="1767">
        <v>0</v>
      </c>
      <c r="BD272" s="1767">
        <v>0</v>
      </c>
      <c r="BE272" s="1767">
        <v>0</v>
      </c>
      <c r="BF272" s="1767">
        <v>0</v>
      </c>
      <c r="BG272" s="1767">
        <v>0</v>
      </c>
      <c r="BH272" s="1767">
        <v>0</v>
      </c>
      <c r="BI272" s="1767">
        <v>0</v>
      </c>
      <c r="BJ272" s="1767">
        <v>0</v>
      </c>
      <c r="BK272" s="1767">
        <v>0</v>
      </c>
      <c r="BL272" s="1767">
        <v>0</v>
      </c>
      <c r="BM272" s="1767">
        <v>0</v>
      </c>
      <c r="BN272" s="1767">
        <v>0</v>
      </c>
      <c r="BO272" s="1767">
        <v>0</v>
      </c>
      <c r="BP272" s="1767">
        <v>0</v>
      </c>
      <c r="BQ272" s="1767">
        <v>0</v>
      </c>
      <c r="BR272" s="1767">
        <v>0</v>
      </c>
      <c r="BS272" s="1767">
        <v>0</v>
      </c>
      <c r="BT272" s="1767">
        <v>0</v>
      </c>
      <c r="BU272" s="1767">
        <v>0</v>
      </c>
      <c r="BV272" s="1767">
        <v>0</v>
      </c>
      <c r="BW272" s="1767">
        <v>0</v>
      </c>
      <c r="BX272" s="1767">
        <v>0</v>
      </c>
      <c r="BY272" s="1767">
        <v>0</v>
      </c>
      <c r="BZ272" s="1767">
        <v>0</v>
      </c>
      <c r="CA272" s="1767">
        <v>0</v>
      </c>
      <c r="CB272" s="1767">
        <v>0</v>
      </c>
      <c r="CC272" s="1767">
        <v>0</v>
      </c>
      <c r="CD272" s="1767">
        <v>0</v>
      </c>
      <c r="CE272" s="1767">
        <v>0</v>
      </c>
      <c r="CF272" s="1767">
        <v>0</v>
      </c>
      <c r="CG272" s="1767">
        <v>0</v>
      </c>
      <c r="CH272" s="1767">
        <v>0</v>
      </c>
      <c r="CI272" s="1767">
        <v>0</v>
      </c>
      <c r="CJ272" s="1767">
        <v>0</v>
      </c>
      <c r="CK272" s="1767">
        <v>0</v>
      </c>
      <c r="CL272" s="1767">
        <v>0</v>
      </c>
      <c r="CM272" s="1767">
        <v>0</v>
      </c>
      <c r="CN272" s="1767">
        <v>0</v>
      </c>
      <c r="CO272" s="1767">
        <v>0</v>
      </c>
      <c r="CP272" s="1767">
        <v>0</v>
      </c>
    </row>
    <row r="273" spans="1:94" s="2" customFormat="1" ht="15" customHeight="1" thickBot="1" x14ac:dyDescent="0.25">
      <c r="A273" s="1847"/>
      <c r="B273" s="1899"/>
      <c r="C273" s="955" t="s">
        <v>1708</v>
      </c>
      <c r="D273" s="949"/>
      <c r="E273" s="1866"/>
      <c r="F273" s="1226"/>
      <c r="G273" s="1767">
        <v>0</v>
      </c>
      <c r="H273" s="1767">
        <v>0</v>
      </c>
      <c r="I273" s="1767">
        <v>0</v>
      </c>
      <c r="J273" s="1767">
        <v>0</v>
      </c>
      <c r="K273" s="1767">
        <v>0</v>
      </c>
      <c r="L273" s="1767">
        <v>0</v>
      </c>
      <c r="M273" s="1767">
        <v>0</v>
      </c>
      <c r="N273" s="1767">
        <v>0</v>
      </c>
      <c r="O273" s="1767">
        <v>0</v>
      </c>
      <c r="P273" s="1767">
        <v>0</v>
      </c>
      <c r="Q273" s="1767">
        <v>0</v>
      </c>
      <c r="R273" s="1767">
        <v>0</v>
      </c>
      <c r="S273" s="1767">
        <v>0</v>
      </c>
      <c r="T273" s="1767">
        <v>0</v>
      </c>
      <c r="U273" s="1767">
        <v>0</v>
      </c>
      <c r="V273" s="1767">
        <v>0</v>
      </c>
      <c r="W273" s="1767">
        <v>0</v>
      </c>
      <c r="X273" s="1767">
        <v>0</v>
      </c>
      <c r="Y273" s="1767">
        <v>0</v>
      </c>
      <c r="Z273" s="1767">
        <v>0</v>
      </c>
      <c r="AA273" s="1767">
        <v>0</v>
      </c>
      <c r="AB273" s="1767">
        <v>0</v>
      </c>
      <c r="AC273" s="1767">
        <v>0</v>
      </c>
      <c r="AD273" s="1767">
        <v>0</v>
      </c>
      <c r="AE273" s="1767">
        <v>0</v>
      </c>
      <c r="AF273" s="1767">
        <v>0</v>
      </c>
      <c r="AG273" s="1767">
        <v>0</v>
      </c>
      <c r="AH273" s="1767">
        <v>0</v>
      </c>
      <c r="AI273" s="1767">
        <v>0</v>
      </c>
      <c r="AJ273" s="1767">
        <v>0</v>
      </c>
      <c r="AK273" s="1767">
        <v>0</v>
      </c>
      <c r="AL273" s="1767">
        <v>0</v>
      </c>
      <c r="AM273" s="1767">
        <v>0</v>
      </c>
      <c r="AN273" s="1767">
        <v>0</v>
      </c>
      <c r="AO273" s="1767">
        <v>0</v>
      </c>
      <c r="AP273" s="1767">
        <v>0</v>
      </c>
      <c r="AQ273" s="1767">
        <v>0</v>
      </c>
      <c r="AR273" s="1767">
        <v>0</v>
      </c>
      <c r="AS273" s="1767">
        <v>0</v>
      </c>
      <c r="AT273" s="1767">
        <v>0</v>
      </c>
      <c r="AU273" s="1767">
        <v>0</v>
      </c>
      <c r="AV273" s="1767">
        <v>0</v>
      </c>
      <c r="AW273" s="1767">
        <v>0</v>
      </c>
      <c r="AX273" s="1767">
        <v>0</v>
      </c>
      <c r="AY273" s="1767">
        <v>0</v>
      </c>
      <c r="AZ273" s="1767">
        <v>0</v>
      </c>
      <c r="BA273" s="1767">
        <v>0</v>
      </c>
      <c r="BB273" s="1767">
        <v>0</v>
      </c>
      <c r="BC273" s="1767">
        <v>0</v>
      </c>
      <c r="BD273" s="1767">
        <v>0</v>
      </c>
      <c r="BE273" s="1767">
        <v>0</v>
      </c>
      <c r="BF273" s="1767">
        <v>0</v>
      </c>
      <c r="BG273" s="1767">
        <v>0</v>
      </c>
      <c r="BH273" s="1767">
        <v>0</v>
      </c>
      <c r="BI273" s="1767">
        <v>0</v>
      </c>
      <c r="BJ273" s="1767">
        <v>0</v>
      </c>
      <c r="BK273" s="1767">
        <v>0</v>
      </c>
      <c r="BL273" s="1767">
        <v>0</v>
      </c>
      <c r="BM273" s="1767">
        <v>0</v>
      </c>
      <c r="BN273" s="1767">
        <v>0</v>
      </c>
      <c r="BO273" s="1767">
        <v>0</v>
      </c>
      <c r="BP273" s="1767">
        <v>0</v>
      </c>
      <c r="BQ273" s="1767">
        <v>0</v>
      </c>
      <c r="BR273" s="1767">
        <v>0</v>
      </c>
      <c r="BS273" s="1767">
        <v>0</v>
      </c>
      <c r="BT273" s="1767">
        <v>0</v>
      </c>
      <c r="BU273" s="1767">
        <v>0</v>
      </c>
      <c r="BV273" s="1767">
        <v>0</v>
      </c>
      <c r="BW273" s="1767">
        <v>0</v>
      </c>
      <c r="BX273" s="1767">
        <v>0</v>
      </c>
      <c r="BY273" s="1767">
        <v>0</v>
      </c>
      <c r="BZ273" s="1767">
        <v>0</v>
      </c>
      <c r="CA273" s="1767">
        <v>0</v>
      </c>
      <c r="CB273" s="1767">
        <v>0</v>
      </c>
      <c r="CC273" s="1767">
        <v>0</v>
      </c>
      <c r="CD273" s="1767">
        <v>0</v>
      </c>
      <c r="CE273" s="1767">
        <v>0</v>
      </c>
      <c r="CF273" s="1767">
        <v>0</v>
      </c>
      <c r="CG273" s="1767">
        <v>0</v>
      </c>
      <c r="CH273" s="1767">
        <v>0</v>
      </c>
      <c r="CI273" s="1767">
        <v>0</v>
      </c>
      <c r="CJ273" s="1767">
        <v>0</v>
      </c>
      <c r="CK273" s="1767">
        <v>0</v>
      </c>
      <c r="CL273" s="1767">
        <v>0</v>
      </c>
      <c r="CM273" s="1767">
        <v>0</v>
      </c>
      <c r="CN273" s="1767">
        <v>0</v>
      </c>
      <c r="CO273" s="1767">
        <v>0</v>
      </c>
      <c r="CP273" s="1767">
        <v>0</v>
      </c>
    </row>
    <row r="274" spans="1:94" ht="30" customHeight="1" thickBot="1" x14ac:dyDescent="0.25">
      <c r="A274" s="1846" t="s">
        <v>240</v>
      </c>
      <c r="B274" s="1846" t="s">
        <v>250</v>
      </c>
      <c r="C274" s="1777" t="s">
        <v>2537</v>
      </c>
      <c r="D274" s="947"/>
      <c r="E274" s="1867" t="s">
        <v>2053</v>
      </c>
      <c r="F274" s="1225"/>
      <c r="G274" s="1742"/>
      <c r="H274" s="1742"/>
      <c r="I274" s="1742"/>
      <c r="J274" s="1742"/>
      <c r="K274" s="1742"/>
      <c r="L274" s="1742"/>
      <c r="M274" s="1742"/>
      <c r="N274" s="1742"/>
      <c r="O274" s="1742"/>
      <c r="P274" s="1742"/>
      <c r="Q274" s="1742"/>
      <c r="R274" s="1742"/>
      <c r="S274" s="1742"/>
      <c r="T274" s="1742"/>
      <c r="U274" s="1742"/>
      <c r="V274" s="1742"/>
      <c r="W274" s="1742"/>
      <c r="X274" s="1742"/>
      <c r="Y274" s="1742"/>
      <c r="Z274" s="1742"/>
      <c r="AA274" s="1742"/>
      <c r="AB274" s="1742"/>
      <c r="AC274" s="1742"/>
      <c r="AD274" s="1742"/>
      <c r="AE274" s="1742"/>
      <c r="AF274" s="1742"/>
      <c r="AG274" s="1742"/>
      <c r="AH274" s="1742"/>
      <c r="AI274" s="1742"/>
      <c r="AJ274" s="1742"/>
      <c r="AK274" s="1742"/>
      <c r="AL274" s="1742"/>
      <c r="AM274" s="1742"/>
      <c r="AN274" s="1742"/>
      <c r="AO274" s="1742"/>
      <c r="AP274" s="1742"/>
      <c r="AQ274" s="1742"/>
      <c r="AR274" s="1742"/>
      <c r="AS274" s="1742"/>
      <c r="AT274" s="1742"/>
      <c r="AU274" s="1742"/>
      <c r="AV274" s="1742"/>
      <c r="AW274" s="1742"/>
      <c r="AX274" s="1742"/>
      <c r="AY274" s="1742"/>
      <c r="AZ274" s="1742"/>
      <c r="BA274" s="1742"/>
      <c r="BB274" s="1742"/>
      <c r="BC274" s="1742"/>
      <c r="BD274" s="1742"/>
      <c r="BE274" s="1742"/>
      <c r="BF274" s="1742"/>
      <c r="BG274" s="1742"/>
      <c r="BH274" s="1742"/>
      <c r="BI274" s="1742"/>
      <c r="BJ274" s="1742"/>
      <c r="BK274" s="1742"/>
      <c r="BL274" s="1742"/>
      <c r="BM274" s="1742"/>
      <c r="BN274" s="1742"/>
      <c r="BO274" s="1742"/>
      <c r="BP274" s="1742"/>
      <c r="BQ274" s="1742"/>
      <c r="BR274" s="1742"/>
      <c r="BS274" s="1742"/>
      <c r="BT274" s="1742"/>
      <c r="BU274" s="1742"/>
      <c r="BV274" s="1742"/>
      <c r="BW274" s="1742"/>
      <c r="BX274" s="1742"/>
      <c r="BY274" s="1742"/>
      <c r="BZ274" s="1742"/>
      <c r="CA274" s="1742"/>
      <c r="CB274" s="1742"/>
      <c r="CC274" s="1742"/>
      <c r="CD274" s="1742"/>
      <c r="CE274" s="1742"/>
      <c r="CF274" s="1742"/>
      <c r="CG274" s="1742"/>
      <c r="CH274" s="1742"/>
      <c r="CI274" s="1742"/>
      <c r="CJ274" s="1742"/>
      <c r="CK274" s="1742"/>
      <c r="CL274" s="1742"/>
      <c r="CM274" s="1742"/>
      <c r="CN274" s="1742"/>
      <c r="CO274" s="1742"/>
      <c r="CP274" s="1742"/>
    </row>
    <row r="275" spans="1:94" ht="15" customHeight="1" x14ac:dyDescent="0.2">
      <c r="A275" s="1847"/>
      <c r="B275" s="1856"/>
      <c r="C275" s="660" t="s">
        <v>2134</v>
      </c>
      <c r="D275" s="936"/>
      <c r="E275" s="1868"/>
      <c r="F275" s="1225"/>
      <c r="G275" s="1767">
        <v>0</v>
      </c>
      <c r="H275" s="1767">
        <v>0</v>
      </c>
      <c r="I275" s="1767">
        <v>0</v>
      </c>
      <c r="J275" s="1767">
        <v>0</v>
      </c>
      <c r="K275" s="1767">
        <v>0</v>
      </c>
      <c r="L275" s="1767">
        <v>0</v>
      </c>
      <c r="M275" s="1767">
        <v>0</v>
      </c>
      <c r="N275" s="1767">
        <v>0</v>
      </c>
      <c r="O275" s="1767">
        <v>0</v>
      </c>
      <c r="P275" s="1767">
        <v>0</v>
      </c>
      <c r="Q275" s="1767">
        <v>0</v>
      </c>
      <c r="R275" s="1767">
        <v>0</v>
      </c>
      <c r="S275" s="1767">
        <v>0</v>
      </c>
      <c r="T275" s="1767">
        <v>0</v>
      </c>
      <c r="U275" s="1767">
        <v>0</v>
      </c>
      <c r="V275" s="1767">
        <v>0</v>
      </c>
      <c r="W275" s="1767">
        <v>0</v>
      </c>
      <c r="X275" s="1767">
        <v>0</v>
      </c>
      <c r="Y275" s="1767">
        <v>0</v>
      </c>
      <c r="Z275" s="1767">
        <v>0</v>
      </c>
      <c r="AA275" s="1767">
        <v>0</v>
      </c>
      <c r="AB275" s="1767">
        <v>0</v>
      </c>
      <c r="AC275" s="1767">
        <v>0</v>
      </c>
      <c r="AD275" s="1767">
        <v>0</v>
      </c>
      <c r="AE275" s="1767">
        <v>0</v>
      </c>
      <c r="AF275" s="1767">
        <v>0</v>
      </c>
      <c r="AG275" s="1767">
        <v>0</v>
      </c>
      <c r="AH275" s="1767">
        <v>0</v>
      </c>
      <c r="AI275" s="1767">
        <v>0</v>
      </c>
      <c r="AJ275" s="1767">
        <v>0</v>
      </c>
      <c r="AK275" s="1767">
        <v>0</v>
      </c>
      <c r="AL275" s="1767">
        <v>0</v>
      </c>
      <c r="AM275" s="1767">
        <v>0</v>
      </c>
      <c r="AN275" s="1767">
        <v>0</v>
      </c>
      <c r="AO275" s="1767">
        <v>0</v>
      </c>
      <c r="AP275" s="1767">
        <v>0</v>
      </c>
      <c r="AQ275" s="1767">
        <v>0</v>
      </c>
      <c r="AR275" s="1767">
        <v>0</v>
      </c>
      <c r="AS275" s="1767">
        <v>0</v>
      </c>
      <c r="AT275" s="1767">
        <v>0</v>
      </c>
      <c r="AU275" s="1767">
        <v>0</v>
      </c>
      <c r="AV275" s="1767">
        <v>0</v>
      </c>
      <c r="AW275" s="1767">
        <v>0</v>
      </c>
      <c r="AX275" s="1767">
        <v>0</v>
      </c>
      <c r="AY275" s="1767">
        <v>0</v>
      </c>
      <c r="AZ275" s="1767">
        <v>0</v>
      </c>
      <c r="BA275" s="1767">
        <v>0</v>
      </c>
      <c r="BB275" s="1767">
        <v>0</v>
      </c>
      <c r="BC275" s="1767">
        <v>0</v>
      </c>
      <c r="BD275" s="1767">
        <v>0</v>
      </c>
      <c r="BE275" s="1767">
        <v>0</v>
      </c>
      <c r="BF275" s="1767">
        <v>0</v>
      </c>
      <c r="BG275" s="1767">
        <v>0</v>
      </c>
      <c r="BH275" s="1767">
        <v>0</v>
      </c>
      <c r="BI275" s="1767">
        <v>0</v>
      </c>
      <c r="BJ275" s="1767">
        <v>0</v>
      </c>
      <c r="BK275" s="1767">
        <v>0</v>
      </c>
      <c r="BL275" s="1767">
        <v>0</v>
      </c>
      <c r="BM275" s="1767">
        <v>0</v>
      </c>
      <c r="BN275" s="1767">
        <v>0</v>
      </c>
      <c r="BO275" s="1767">
        <v>0</v>
      </c>
      <c r="BP275" s="1767">
        <v>0</v>
      </c>
      <c r="BQ275" s="1767">
        <v>0</v>
      </c>
      <c r="BR275" s="1767">
        <v>0</v>
      </c>
      <c r="BS275" s="1767">
        <v>0</v>
      </c>
      <c r="BT275" s="1767">
        <v>0</v>
      </c>
      <c r="BU275" s="1767">
        <v>0</v>
      </c>
      <c r="BV275" s="1767">
        <v>0</v>
      </c>
      <c r="BW275" s="1767">
        <v>0</v>
      </c>
      <c r="BX275" s="1767">
        <v>0</v>
      </c>
      <c r="BY275" s="1767">
        <v>0</v>
      </c>
      <c r="BZ275" s="1767">
        <v>0</v>
      </c>
      <c r="CA275" s="1767">
        <v>0</v>
      </c>
      <c r="CB275" s="1767">
        <v>0</v>
      </c>
      <c r="CC275" s="1767">
        <v>0</v>
      </c>
      <c r="CD275" s="1767">
        <v>0</v>
      </c>
      <c r="CE275" s="1767">
        <v>0</v>
      </c>
      <c r="CF275" s="1767">
        <v>0</v>
      </c>
      <c r="CG275" s="1767">
        <v>0</v>
      </c>
      <c r="CH275" s="1767">
        <v>0</v>
      </c>
      <c r="CI275" s="1767">
        <v>0</v>
      </c>
      <c r="CJ275" s="1767">
        <v>0</v>
      </c>
      <c r="CK275" s="1767">
        <v>0</v>
      </c>
      <c r="CL275" s="1767">
        <v>0</v>
      </c>
      <c r="CM275" s="1767">
        <v>0</v>
      </c>
      <c r="CN275" s="1767">
        <v>0</v>
      </c>
      <c r="CO275" s="1767">
        <v>0</v>
      </c>
      <c r="CP275" s="1767">
        <v>0</v>
      </c>
    </row>
    <row r="276" spans="1:94" ht="15" customHeight="1" x14ac:dyDescent="0.2">
      <c r="A276" s="1847"/>
      <c r="B276" s="1856"/>
      <c r="C276" s="653" t="s">
        <v>2135</v>
      </c>
      <c r="D276" s="936"/>
      <c r="E276" s="1868"/>
      <c r="F276" s="1225"/>
      <c r="G276" s="1767">
        <v>0</v>
      </c>
      <c r="H276" s="1767">
        <v>0</v>
      </c>
      <c r="I276" s="1767">
        <v>0</v>
      </c>
      <c r="J276" s="1767">
        <v>0</v>
      </c>
      <c r="K276" s="1767">
        <v>0</v>
      </c>
      <c r="L276" s="1767">
        <v>0</v>
      </c>
      <c r="M276" s="1767">
        <v>0</v>
      </c>
      <c r="N276" s="1767">
        <v>0</v>
      </c>
      <c r="O276" s="1767">
        <v>0</v>
      </c>
      <c r="P276" s="1767">
        <v>0</v>
      </c>
      <c r="Q276" s="1767">
        <v>0</v>
      </c>
      <c r="R276" s="1767">
        <v>0</v>
      </c>
      <c r="S276" s="1767">
        <v>0</v>
      </c>
      <c r="T276" s="1767">
        <v>0</v>
      </c>
      <c r="U276" s="1767">
        <v>0</v>
      </c>
      <c r="V276" s="1767">
        <v>0</v>
      </c>
      <c r="W276" s="1767">
        <v>0</v>
      </c>
      <c r="X276" s="1767">
        <v>0</v>
      </c>
      <c r="Y276" s="1767">
        <v>0</v>
      </c>
      <c r="Z276" s="1767">
        <v>0</v>
      </c>
      <c r="AA276" s="1767">
        <v>0</v>
      </c>
      <c r="AB276" s="1767">
        <v>0</v>
      </c>
      <c r="AC276" s="1767">
        <v>0</v>
      </c>
      <c r="AD276" s="1767">
        <v>0</v>
      </c>
      <c r="AE276" s="1767">
        <v>0</v>
      </c>
      <c r="AF276" s="1767">
        <v>0</v>
      </c>
      <c r="AG276" s="1767">
        <v>0</v>
      </c>
      <c r="AH276" s="1767">
        <v>0</v>
      </c>
      <c r="AI276" s="1767">
        <v>0</v>
      </c>
      <c r="AJ276" s="1767">
        <v>0</v>
      </c>
      <c r="AK276" s="1767">
        <v>0</v>
      </c>
      <c r="AL276" s="1767">
        <v>0</v>
      </c>
      <c r="AM276" s="1767">
        <v>0</v>
      </c>
      <c r="AN276" s="1767">
        <v>0</v>
      </c>
      <c r="AO276" s="1767">
        <v>0</v>
      </c>
      <c r="AP276" s="1767">
        <v>0</v>
      </c>
      <c r="AQ276" s="1767">
        <v>0</v>
      </c>
      <c r="AR276" s="1767">
        <v>0</v>
      </c>
      <c r="AS276" s="1767">
        <v>0</v>
      </c>
      <c r="AT276" s="1767">
        <v>0</v>
      </c>
      <c r="AU276" s="1767">
        <v>0</v>
      </c>
      <c r="AV276" s="1767">
        <v>0</v>
      </c>
      <c r="AW276" s="1767">
        <v>0</v>
      </c>
      <c r="AX276" s="1767">
        <v>0</v>
      </c>
      <c r="AY276" s="1767">
        <v>0</v>
      </c>
      <c r="AZ276" s="1767">
        <v>0</v>
      </c>
      <c r="BA276" s="1767">
        <v>0</v>
      </c>
      <c r="BB276" s="1767">
        <v>0</v>
      </c>
      <c r="BC276" s="1767">
        <v>0</v>
      </c>
      <c r="BD276" s="1767">
        <v>0</v>
      </c>
      <c r="BE276" s="1767">
        <v>0</v>
      </c>
      <c r="BF276" s="1767">
        <v>0</v>
      </c>
      <c r="BG276" s="1767">
        <v>0</v>
      </c>
      <c r="BH276" s="1767">
        <v>0</v>
      </c>
      <c r="BI276" s="1767">
        <v>0</v>
      </c>
      <c r="BJ276" s="1767">
        <v>0</v>
      </c>
      <c r="BK276" s="1767">
        <v>0</v>
      </c>
      <c r="BL276" s="1767">
        <v>0</v>
      </c>
      <c r="BM276" s="1767">
        <v>0</v>
      </c>
      <c r="BN276" s="1767">
        <v>0</v>
      </c>
      <c r="BO276" s="1767">
        <v>0</v>
      </c>
      <c r="BP276" s="1767">
        <v>0</v>
      </c>
      <c r="BQ276" s="1767">
        <v>0</v>
      </c>
      <c r="BR276" s="1767">
        <v>0</v>
      </c>
      <c r="BS276" s="1767">
        <v>0</v>
      </c>
      <c r="BT276" s="1767">
        <v>0</v>
      </c>
      <c r="BU276" s="1767">
        <v>0</v>
      </c>
      <c r="BV276" s="1767">
        <v>0</v>
      </c>
      <c r="BW276" s="1767">
        <v>0</v>
      </c>
      <c r="BX276" s="1767">
        <v>0</v>
      </c>
      <c r="BY276" s="1767">
        <v>0</v>
      </c>
      <c r="BZ276" s="1767">
        <v>0</v>
      </c>
      <c r="CA276" s="1767">
        <v>0</v>
      </c>
      <c r="CB276" s="1767">
        <v>0</v>
      </c>
      <c r="CC276" s="1767">
        <v>0</v>
      </c>
      <c r="CD276" s="1767">
        <v>0</v>
      </c>
      <c r="CE276" s="1767">
        <v>0</v>
      </c>
      <c r="CF276" s="1767">
        <v>0</v>
      </c>
      <c r="CG276" s="1767">
        <v>0</v>
      </c>
      <c r="CH276" s="1767">
        <v>0</v>
      </c>
      <c r="CI276" s="1767">
        <v>0</v>
      </c>
      <c r="CJ276" s="1767">
        <v>0</v>
      </c>
      <c r="CK276" s="1767">
        <v>0</v>
      </c>
      <c r="CL276" s="1767">
        <v>0</v>
      </c>
      <c r="CM276" s="1767">
        <v>0</v>
      </c>
      <c r="CN276" s="1767">
        <v>0</v>
      </c>
      <c r="CO276" s="1767">
        <v>0</v>
      </c>
      <c r="CP276" s="1767">
        <v>0</v>
      </c>
    </row>
    <row r="277" spans="1:94" ht="15" customHeight="1" thickBot="1" x14ac:dyDescent="0.25">
      <c r="A277" s="1848"/>
      <c r="B277" s="1857"/>
      <c r="C277" s="654" t="s">
        <v>2136</v>
      </c>
      <c r="D277" s="950"/>
      <c r="E277" s="1869"/>
      <c r="F277" s="1225"/>
      <c r="G277" s="1767">
        <v>0</v>
      </c>
      <c r="H277" s="1767">
        <v>0</v>
      </c>
      <c r="I277" s="1767">
        <v>0</v>
      </c>
      <c r="J277" s="1767">
        <v>0</v>
      </c>
      <c r="K277" s="1767">
        <v>0</v>
      </c>
      <c r="L277" s="1767">
        <v>0</v>
      </c>
      <c r="M277" s="1767">
        <v>0</v>
      </c>
      <c r="N277" s="1767">
        <v>0</v>
      </c>
      <c r="O277" s="1767">
        <v>0</v>
      </c>
      <c r="P277" s="1767">
        <v>0</v>
      </c>
      <c r="Q277" s="1767">
        <v>0</v>
      </c>
      <c r="R277" s="1767">
        <v>0</v>
      </c>
      <c r="S277" s="1767">
        <v>0</v>
      </c>
      <c r="T277" s="1767">
        <v>0</v>
      </c>
      <c r="U277" s="1767">
        <v>0</v>
      </c>
      <c r="V277" s="1767">
        <v>0</v>
      </c>
      <c r="W277" s="1767">
        <v>0</v>
      </c>
      <c r="X277" s="1767">
        <v>0</v>
      </c>
      <c r="Y277" s="1767">
        <v>0</v>
      </c>
      <c r="Z277" s="1767">
        <v>0</v>
      </c>
      <c r="AA277" s="1767">
        <v>0</v>
      </c>
      <c r="AB277" s="1767">
        <v>0</v>
      </c>
      <c r="AC277" s="1767">
        <v>0</v>
      </c>
      <c r="AD277" s="1767">
        <v>0</v>
      </c>
      <c r="AE277" s="1767">
        <v>0</v>
      </c>
      <c r="AF277" s="1767">
        <v>0</v>
      </c>
      <c r="AG277" s="1767">
        <v>0</v>
      </c>
      <c r="AH277" s="1767">
        <v>0</v>
      </c>
      <c r="AI277" s="1767">
        <v>0</v>
      </c>
      <c r="AJ277" s="1767">
        <v>0</v>
      </c>
      <c r="AK277" s="1767">
        <v>0</v>
      </c>
      <c r="AL277" s="1767">
        <v>0</v>
      </c>
      <c r="AM277" s="1767">
        <v>0</v>
      </c>
      <c r="AN277" s="1767">
        <v>0</v>
      </c>
      <c r="AO277" s="1767">
        <v>0</v>
      </c>
      <c r="AP277" s="1767">
        <v>0</v>
      </c>
      <c r="AQ277" s="1767">
        <v>0</v>
      </c>
      <c r="AR277" s="1767">
        <v>0</v>
      </c>
      <c r="AS277" s="1767">
        <v>0</v>
      </c>
      <c r="AT277" s="1767">
        <v>0</v>
      </c>
      <c r="AU277" s="1767">
        <v>0</v>
      </c>
      <c r="AV277" s="1767">
        <v>0</v>
      </c>
      <c r="AW277" s="1767">
        <v>0</v>
      </c>
      <c r="AX277" s="1767">
        <v>0</v>
      </c>
      <c r="AY277" s="1767">
        <v>0</v>
      </c>
      <c r="AZ277" s="1767">
        <v>0</v>
      </c>
      <c r="BA277" s="1767">
        <v>0</v>
      </c>
      <c r="BB277" s="1767">
        <v>0</v>
      </c>
      <c r="BC277" s="1767">
        <v>0</v>
      </c>
      <c r="BD277" s="1767">
        <v>0</v>
      </c>
      <c r="BE277" s="1767">
        <v>0</v>
      </c>
      <c r="BF277" s="1767">
        <v>0</v>
      </c>
      <c r="BG277" s="1767">
        <v>0</v>
      </c>
      <c r="BH277" s="1767">
        <v>0</v>
      </c>
      <c r="BI277" s="1767">
        <v>0</v>
      </c>
      <c r="BJ277" s="1767">
        <v>0</v>
      </c>
      <c r="BK277" s="1767">
        <v>0</v>
      </c>
      <c r="BL277" s="1767">
        <v>0</v>
      </c>
      <c r="BM277" s="1767">
        <v>0</v>
      </c>
      <c r="BN277" s="1767">
        <v>0</v>
      </c>
      <c r="BO277" s="1767">
        <v>0</v>
      </c>
      <c r="BP277" s="1767">
        <v>0</v>
      </c>
      <c r="BQ277" s="1767">
        <v>0</v>
      </c>
      <c r="BR277" s="1767">
        <v>0</v>
      </c>
      <c r="BS277" s="1767">
        <v>0</v>
      </c>
      <c r="BT277" s="1767">
        <v>0</v>
      </c>
      <c r="BU277" s="1767">
        <v>0</v>
      </c>
      <c r="BV277" s="1767">
        <v>0</v>
      </c>
      <c r="BW277" s="1767">
        <v>0</v>
      </c>
      <c r="BX277" s="1767">
        <v>0</v>
      </c>
      <c r="BY277" s="1767">
        <v>0</v>
      </c>
      <c r="BZ277" s="1767">
        <v>0</v>
      </c>
      <c r="CA277" s="1767">
        <v>0</v>
      </c>
      <c r="CB277" s="1767">
        <v>0</v>
      </c>
      <c r="CC277" s="1767">
        <v>0</v>
      </c>
      <c r="CD277" s="1767">
        <v>0</v>
      </c>
      <c r="CE277" s="1767">
        <v>0</v>
      </c>
      <c r="CF277" s="1767">
        <v>0</v>
      </c>
      <c r="CG277" s="1767">
        <v>0</v>
      </c>
      <c r="CH277" s="1767">
        <v>0</v>
      </c>
      <c r="CI277" s="1767">
        <v>0</v>
      </c>
      <c r="CJ277" s="1767">
        <v>0</v>
      </c>
      <c r="CK277" s="1767">
        <v>0</v>
      </c>
      <c r="CL277" s="1767">
        <v>0</v>
      </c>
      <c r="CM277" s="1767">
        <v>0</v>
      </c>
      <c r="CN277" s="1767">
        <v>0</v>
      </c>
      <c r="CO277" s="1767">
        <v>0</v>
      </c>
      <c r="CP277" s="1767">
        <v>0</v>
      </c>
    </row>
    <row r="278" spans="1:94" s="1237" customFormat="1" ht="21" customHeight="1" thickBot="1" x14ac:dyDescent="0.25">
      <c r="A278" s="1856" t="s">
        <v>241</v>
      </c>
      <c r="B278" s="1856" t="s">
        <v>246</v>
      </c>
      <c r="C278" s="1778" t="s">
        <v>485</v>
      </c>
      <c r="D278" s="1558"/>
      <c r="E278" s="1870" t="s">
        <v>2053</v>
      </c>
      <c r="F278" s="1236"/>
      <c r="G278" s="1742"/>
      <c r="H278" s="1742"/>
      <c r="I278" s="1742"/>
      <c r="J278" s="1742"/>
      <c r="K278" s="1742"/>
      <c r="L278" s="1742"/>
      <c r="M278" s="1742"/>
      <c r="N278" s="1742"/>
      <c r="O278" s="1742"/>
      <c r="P278" s="1742"/>
      <c r="Q278" s="1742"/>
      <c r="R278" s="1742"/>
      <c r="S278" s="1742"/>
      <c r="T278" s="1742"/>
      <c r="U278" s="1742"/>
      <c r="V278" s="1742"/>
      <c r="W278" s="1742"/>
      <c r="X278" s="1742"/>
      <c r="Y278" s="1742"/>
      <c r="Z278" s="1742"/>
      <c r="AA278" s="1742"/>
      <c r="AB278" s="1742"/>
      <c r="AC278" s="1742"/>
      <c r="AD278" s="1742"/>
      <c r="AE278" s="1742"/>
      <c r="AF278" s="1742"/>
      <c r="AG278" s="1742"/>
      <c r="AH278" s="1742"/>
      <c r="AI278" s="1742"/>
      <c r="AJ278" s="1742"/>
      <c r="AK278" s="1742"/>
      <c r="AL278" s="1742"/>
      <c r="AM278" s="1742"/>
      <c r="AN278" s="1742"/>
      <c r="AO278" s="1742"/>
      <c r="AP278" s="1742"/>
      <c r="AQ278" s="1742"/>
      <c r="AR278" s="1742"/>
      <c r="AS278" s="1742"/>
      <c r="AT278" s="1742"/>
      <c r="AU278" s="1742"/>
      <c r="AV278" s="1742"/>
      <c r="AW278" s="1742"/>
      <c r="AX278" s="1742"/>
      <c r="AY278" s="1742"/>
      <c r="AZ278" s="1742"/>
      <c r="BA278" s="1742"/>
      <c r="BB278" s="1742"/>
      <c r="BC278" s="1742"/>
      <c r="BD278" s="1742"/>
      <c r="BE278" s="1742"/>
      <c r="BF278" s="1742"/>
      <c r="BG278" s="1742"/>
      <c r="BH278" s="1742"/>
      <c r="BI278" s="1742"/>
      <c r="BJ278" s="1742"/>
      <c r="BK278" s="1742"/>
      <c r="BL278" s="1742"/>
      <c r="BM278" s="1742"/>
      <c r="BN278" s="1742"/>
      <c r="BO278" s="1742"/>
      <c r="BP278" s="1742"/>
      <c r="BQ278" s="1742"/>
      <c r="BR278" s="1742"/>
      <c r="BS278" s="1742"/>
      <c r="BT278" s="1742"/>
      <c r="BU278" s="1742"/>
      <c r="BV278" s="1742"/>
      <c r="BW278" s="1742"/>
      <c r="BX278" s="1742"/>
      <c r="BY278" s="1742"/>
      <c r="BZ278" s="1742"/>
      <c r="CA278" s="1742"/>
      <c r="CB278" s="1742"/>
      <c r="CC278" s="1742"/>
      <c r="CD278" s="1742"/>
      <c r="CE278" s="1742"/>
      <c r="CF278" s="1742"/>
      <c r="CG278" s="1742"/>
      <c r="CH278" s="1742"/>
      <c r="CI278" s="1742"/>
      <c r="CJ278" s="1742"/>
      <c r="CK278" s="1742"/>
      <c r="CL278" s="1742"/>
      <c r="CM278" s="1742"/>
      <c r="CN278" s="1742"/>
      <c r="CO278" s="1742"/>
      <c r="CP278" s="1742"/>
    </row>
    <row r="279" spans="1:94" s="1237" customFormat="1" ht="27" customHeight="1" x14ac:dyDescent="0.2">
      <c r="A279" s="1856"/>
      <c r="B279" s="1856"/>
      <c r="C279" s="662" t="s">
        <v>2336</v>
      </c>
      <c r="D279" s="1559"/>
      <c r="E279" s="1871"/>
      <c r="F279" s="1236"/>
      <c r="G279" s="1767">
        <v>0</v>
      </c>
      <c r="H279" s="1767">
        <v>0</v>
      </c>
      <c r="I279" s="1767">
        <v>0</v>
      </c>
      <c r="J279" s="1767">
        <v>0</v>
      </c>
      <c r="K279" s="1767">
        <v>0</v>
      </c>
      <c r="L279" s="1767">
        <v>0</v>
      </c>
      <c r="M279" s="1767">
        <v>0</v>
      </c>
      <c r="N279" s="1767">
        <v>0</v>
      </c>
      <c r="O279" s="1767">
        <v>0</v>
      </c>
      <c r="P279" s="1767">
        <v>0</v>
      </c>
      <c r="Q279" s="1767">
        <v>0</v>
      </c>
      <c r="R279" s="1767">
        <v>0</v>
      </c>
      <c r="S279" s="1767">
        <v>0</v>
      </c>
      <c r="T279" s="1767">
        <v>0</v>
      </c>
      <c r="U279" s="1767">
        <v>0</v>
      </c>
      <c r="V279" s="1767">
        <v>0</v>
      </c>
      <c r="W279" s="1767">
        <v>0</v>
      </c>
      <c r="X279" s="1767">
        <v>0</v>
      </c>
      <c r="Y279" s="1767">
        <v>0</v>
      </c>
      <c r="Z279" s="1767">
        <v>0</v>
      </c>
      <c r="AA279" s="1767">
        <v>0</v>
      </c>
      <c r="AB279" s="1767">
        <v>0</v>
      </c>
      <c r="AC279" s="1767">
        <v>0</v>
      </c>
      <c r="AD279" s="1767">
        <v>0</v>
      </c>
      <c r="AE279" s="1767">
        <v>0</v>
      </c>
      <c r="AF279" s="1767">
        <v>0</v>
      </c>
      <c r="AG279" s="1767">
        <v>0</v>
      </c>
      <c r="AH279" s="1767">
        <v>0</v>
      </c>
      <c r="AI279" s="1767">
        <v>0</v>
      </c>
      <c r="AJ279" s="1767">
        <v>0</v>
      </c>
      <c r="AK279" s="1767">
        <v>0</v>
      </c>
      <c r="AL279" s="1767">
        <v>0</v>
      </c>
      <c r="AM279" s="1767">
        <v>0</v>
      </c>
      <c r="AN279" s="1767">
        <v>0</v>
      </c>
      <c r="AO279" s="1767">
        <v>0</v>
      </c>
      <c r="AP279" s="1767">
        <v>0</v>
      </c>
      <c r="AQ279" s="1767">
        <v>0</v>
      </c>
      <c r="AR279" s="1767">
        <v>0</v>
      </c>
      <c r="AS279" s="1767">
        <v>0</v>
      </c>
      <c r="AT279" s="1767">
        <v>0</v>
      </c>
      <c r="AU279" s="1767">
        <v>0</v>
      </c>
      <c r="AV279" s="1767">
        <v>0</v>
      </c>
      <c r="AW279" s="1767">
        <v>0</v>
      </c>
      <c r="AX279" s="1767">
        <v>0</v>
      </c>
      <c r="AY279" s="1767">
        <v>0</v>
      </c>
      <c r="AZ279" s="1767">
        <v>0</v>
      </c>
      <c r="BA279" s="1767">
        <v>0</v>
      </c>
      <c r="BB279" s="1767">
        <v>0</v>
      </c>
      <c r="BC279" s="1767">
        <v>0</v>
      </c>
      <c r="BD279" s="1767">
        <v>0</v>
      </c>
      <c r="BE279" s="1767">
        <v>0</v>
      </c>
      <c r="BF279" s="1767">
        <v>0</v>
      </c>
      <c r="BG279" s="1767">
        <v>0</v>
      </c>
      <c r="BH279" s="1767">
        <v>0</v>
      </c>
      <c r="BI279" s="1767">
        <v>0</v>
      </c>
      <c r="BJ279" s="1767">
        <v>0</v>
      </c>
      <c r="BK279" s="1767">
        <v>0</v>
      </c>
      <c r="BL279" s="1767">
        <v>0</v>
      </c>
      <c r="BM279" s="1767">
        <v>0</v>
      </c>
      <c r="BN279" s="1767">
        <v>0</v>
      </c>
      <c r="BO279" s="1767">
        <v>0</v>
      </c>
      <c r="BP279" s="1767">
        <v>0</v>
      </c>
      <c r="BQ279" s="1767">
        <v>0</v>
      </c>
      <c r="BR279" s="1767">
        <v>0</v>
      </c>
      <c r="BS279" s="1767">
        <v>0</v>
      </c>
      <c r="BT279" s="1767">
        <v>0</v>
      </c>
      <c r="BU279" s="1767">
        <v>0</v>
      </c>
      <c r="BV279" s="1767">
        <v>0</v>
      </c>
      <c r="BW279" s="1767">
        <v>0</v>
      </c>
      <c r="BX279" s="1767">
        <v>0</v>
      </c>
      <c r="BY279" s="1767">
        <v>0</v>
      </c>
      <c r="BZ279" s="1767">
        <v>0</v>
      </c>
      <c r="CA279" s="1767">
        <v>0</v>
      </c>
      <c r="CB279" s="1767">
        <v>0</v>
      </c>
      <c r="CC279" s="1767">
        <v>0</v>
      </c>
      <c r="CD279" s="1767">
        <v>0</v>
      </c>
      <c r="CE279" s="1767">
        <v>0</v>
      </c>
      <c r="CF279" s="1767">
        <v>0</v>
      </c>
      <c r="CG279" s="1767">
        <v>0</v>
      </c>
      <c r="CH279" s="1767">
        <v>0</v>
      </c>
      <c r="CI279" s="1767">
        <v>0</v>
      </c>
      <c r="CJ279" s="1767">
        <v>0</v>
      </c>
      <c r="CK279" s="1767">
        <v>0</v>
      </c>
      <c r="CL279" s="1767">
        <v>0</v>
      </c>
      <c r="CM279" s="1767">
        <v>0</v>
      </c>
      <c r="CN279" s="1767">
        <v>0</v>
      </c>
      <c r="CO279" s="1767">
        <v>0</v>
      </c>
      <c r="CP279" s="1767">
        <v>0</v>
      </c>
    </row>
    <row r="280" spans="1:94" s="1237" customFormat="1" ht="28.5" customHeight="1" x14ac:dyDescent="0.2">
      <c r="A280" s="1856"/>
      <c r="B280" s="1856"/>
      <c r="C280" s="663" t="s">
        <v>2335</v>
      </c>
      <c r="D280" s="1559"/>
      <c r="E280" s="1871"/>
      <c r="F280" s="1236"/>
      <c r="G280" s="1767">
        <v>0</v>
      </c>
      <c r="H280" s="1767">
        <v>0</v>
      </c>
      <c r="I280" s="1767">
        <v>0</v>
      </c>
      <c r="J280" s="1767">
        <v>0</v>
      </c>
      <c r="K280" s="1767">
        <v>0</v>
      </c>
      <c r="L280" s="1767">
        <v>0</v>
      </c>
      <c r="M280" s="1767">
        <v>0</v>
      </c>
      <c r="N280" s="1767">
        <v>0</v>
      </c>
      <c r="O280" s="1767">
        <v>0</v>
      </c>
      <c r="P280" s="1767">
        <v>0</v>
      </c>
      <c r="Q280" s="1767">
        <v>0</v>
      </c>
      <c r="R280" s="1767">
        <v>0</v>
      </c>
      <c r="S280" s="1767">
        <v>0</v>
      </c>
      <c r="T280" s="1767">
        <v>0</v>
      </c>
      <c r="U280" s="1767">
        <v>0</v>
      </c>
      <c r="V280" s="1767">
        <v>0</v>
      </c>
      <c r="W280" s="1767">
        <v>0</v>
      </c>
      <c r="X280" s="1767">
        <v>0</v>
      </c>
      <c r="Y280" s="1767">
        <v>0</v>
      </c>
      <c r="Z280" s="1767">
        <v>0</v>
      </c>
      <c r="AA280" s="1767">
        <v>0</v>
      </c>
      <c r="AB280" s="1767">
        <v>0</v>
      </c>
      <c r="AC280" s="1767">
        <v>0</v>
      </c>
      <c r="AD280" s="1767">
        <v>0</v>
      </c>
      <c r="AE280" s="1767">
        <v>0</v>
      </c>
      <c r="AF280" s="1767">
        <v>0</v>
      </c>
      <c r="AG280" s="1767">
        <v>0</v>
      </c>
      <c r="AH280" s="1767">
        <v>0</v>
      </c>
      <c r="AI280" s="1767">
        <v>0</v>
      </c>
      <c r="AJ280" s="1767">
        <v>0</v>
      </c>
      <c r="AK280" s="1767">
        <v>0</v>
      </c>
      <c r="AL280" s="1767">
        <v>0</v>
      </c>
      <c r="AM280" s="1767">
        <v>0</v>
      </c>
      <c r="AN280" s="1767">
        <v>0</v>
      </c>
      <c r="AO280" s="1767">
        <v>0</v>
      </c>
      <c r="AP280" s="1767">
        <v>0</v>
      </c>
      <c r="AQ280" s="1767">
        <v>0</v>
      </c>
      <c r="AR280" s="1767">
        <v>0</v>
      </c>
      <c r="AS280" s="1767">
        <v>0</v>
      </c>
      <c r="AT280" s="1767">
        <v>0</v>
      </c>
      <c r="AU280" s="1767">
        <v>0</v>
      </c>
      <c r="AV280" s="1767">
        <v>0</v>
      </c>
      <c r="AW280" s="1767">
        <v>0</v>
      </c>
      <c r="AX280" s="1767">
        <v>0</v>
      </c>
      <c r="AY280" s="1767">
        <v>0</v>
      </c>
      <c r="AZ280" s="1767">
        <v>0</v>
      </c>
      <c r="BA280" s="1767">
        <v>0</v>
      </c>
      <c r="BB280" s="1767">
        <v>0</v>
      </c>
      <c r="BC280" s="1767">
        <v>0</v>
      </c>
      <c r="BD280" s="1767">
        <v>0</v>
      </c>
      <c r="BE280" s="1767">
        <v>0</v>
      </c>
      <c r="BF280" s="1767">
        <v>0</v>
      </c>
      <c r="BG280" s="1767">
        <v>0</v>
      </c>
      <c r="BH280" s="1767">
        <v>0</v>
      </c>
      <c r="BI280" s="1767">
        <v>0</v>
      </c>
      <c r="BJ280" s="1767">
        <v>0</v>
      </c>
      <c r="BK280" s="1767">
        <v>0</v>
      </c>
      <c r="BL280" s="1767">
        <v>0</v>
      </c>
      <c r="BM280" s="1767">
        <v>0</v>
      </c>
      <c r="BN280" s="1767">
        <v>0</v>
      </c>
      <c r="BO280" s="1767">
        <v>0</v>
      </c>
      <c r="BP280" s="1767">
        <v>0</v>
      </c>
      <c r="BQ280" s="1767">
        <v>0</v>
      </c>
      <c r="BR280" s="1767">
        <v>0</v>
      </c>
      <c r="BS280" s="1767">
        <v>0</v>
      </c>
      <c r="BT280" s="1767">
        <v>0</v>
      </c>
      <c r="BU280" s="1767">
        <v>0</v>
      </c>
      <c r="BV280" s="1767">
        <v>0</v>
      </c>
      <c r="BW280" s="1767">
        <v>0</v>
      </c>
      <c r="BX280" s="1767">
        <v>0</v>
      </c>
      <c r="BY280" s="1767">
        <v>0</v>
      </c>
      <c r="BZ280" s="1767">
        <v>0</v>
      </c>
      <c r="CA280" s="1767">
        <v>0</v>
      </c>
      <c r="CB280" s="1767">
        <v>0</v>
      </c>
      <c r="CC280" s="1767">
        <v>0</v>
      </c>
      <c r="CD280" s="1767">
        <v>0</v>
      </c>
      <c r="CE280" s="1767">
        <v>0</v>
      </c>
      <c r="CF280" s="1767">
        <v>0</v>
      </c>
      <c r="CG280" s="1767">
        <v>0</v>
      </c>
      <c r="CH280" s="1767">
        <v>0</v>
      </c>
      <c r="CI280" s="1767">
        <v>0</v>
      </c>
      <c r="CJ280" s="1767">
        <v>0</v>
      </c>
      <c r="CK280" s="1767">
        <v>0</v>
      </c>
      <c r="CL280" s="1767">
        <v>0</v>
      </c>
      <c r="CM280" s="1767">
        <v>0</v>
      </c>
      <c r="CN280" s="1767">
        <v>0</v>
      </c>
      <c r="CO280" s="1767">
        <v>0</v>
      </c>
      <c r="CP280" s="1767">
        <v>0</v>
      </c>
    </row>
    <row r="281" spans="1:94" s="1237" customFormat="1" ht="15" customHeight="1" x14ac:dyDescent="0.2">
      <c r="A281" s="1856"/>
      <c r="B281" s="1856"/>
      <c r="C281" s="653" t="s">
        <v>2273</v>
      </c>
      <c r="D281" s="1559"/>
      <c r="E281" s="1871"/>
      <c r="F281" s="1236"/>
      <c r="G281" s="1767">
        <v>0</v>
      </c>
      <c r="H281" s="1767">
        <v>0</v>
      </c>
      <c r="I281" s="1767">
        <v>0</v>
      </c>
      <c r="J281" s="1767">
        <v>0</v>
      </c>
      <c r="K281" s="1767">
        <v>0</v>
      </c>
      <c r="L281" s="1767">
        <v>0</v>
      </c>
      <c r="M281" s="1767">
        <v>0</v>
      </c>
      <c r="N281" s="1767">
        <v>0</v>
      </c>
      <c r="O281" s="1767">
        <v>0</v>
      </c>
      <c r="P281" s="1767">
        <v>0</v>
      </c>
      <c r="Q281" s="1767">
        <v>0</v>
      </c>
      <c r="R281" s="1767">
        <v>0</v>
      </c>
      <c r="S281" s="1767">
        <v>0</v>
      </c>
      <c r="T281" s="1767">
        <v>0</v>
      </c>
      <c r="U281" s="1767">
        <v>0</v>
      </c>
      <c r="V281" s="1767">
        <v>0</v>
      </c>
      <c r="W281" s="1767">
        <v>0</v>
      </c>
      <c r="X281" s="1767">
        <v>0</v>
      </c>
      <c r="Y281" s="1767">
        <v>0</v>
      </c>
      <c r="Z281" s="1767">
        <v>0</v>
      </c>
      <c r="AA281" s="1767">
        <v>0</v>
      </c>
      <c r="AB281" s="1767">
        <v>0</v>
      </c>
      <c r="AC281" s="1767">
        <v>0</v>
      </c>
      <c r="AD281" s="1767">
        <v>0</v>
      </c>
      <c r="AE281" s="1767">
        <v>0</v>
      </c>
      <c r="AF281" s="1767">
        <v>0</v>
      </c>
      <c r="AG281" s="1767">
        <v>0</v>
      </c>
      <c r="AH281" s="1767">
        <v>0</v>
      </c>
      <c r="AI281" s="1767">
        <v>0</v>
      </c>
      <c r="AJ281" s="1767">
        <v>0</v>
      </c>
      <c r="AK281" s="1767">
        <v>0</v>
      </c>
      <c r="AL281" s="1767">
        <v>0</v>
      </c>
      <c r="AM281" s="1767">
        <v>0</v>
      </c>
      <c r="AN281" s="1767">
        <v>0</v>
      </c>
      <c r="AO281" s="1767">
        <v>0</v>
      </c>
      <c r="AP281" s="1767">
        <v>0</v>
      </c>
      <c r="AQ281" s="1767">
        <v>0</v>
      </c>
      <c r="AR281" s="1767">
        <v>0</v>
      </c>
      <c r="AS281" s="1767">
        <v>0</v>
      </c>
      <c r="AT281" s="1767">
        <v>0</v>
      </c>
      <c r="AU281" s="1767">
        <v>0</v>
      </c>
      <c r="AV281" s="1767">
        <v>0</v>
      </c>
      <c r="AW281" s="1767">
        <v>0</v>
      </c>
      <c r="AX281" s="1767">
        <v>0</v>
      </c>
      <c r="AY281" s="1767">
        <v>0</v>
      </c>
      <c r="AZ281" s="1767">
        <v>0</v>
      </c>
      <c r="BA281" s="1767">
        <v>0</v>
      </c>
      <c r="BB281" s="1767">
        <v>0</v>
      </c>
      <c r="BC281" s="1767">
        <v>0</v>
      </c>
      <c r="BD281" s="1767">
        <v>0</v>
      </c>
      <c r="BE281" s="1767">
        <v>0</v>
      </c>
      <c r="BF281" s="1767">
        <v>0</v>
      </c>
      <c r="BG281" s="1767">
        <v>0</v>
      </c>
      <c r="BH281" s="1767">
        <v>0</v>
      </c>
      <c r="BI281" s="1767">
        <v>0</v>
      </c>
      <c r="BJ281" s="1767">
        <v>0</v>
      </c>
      <c r="BK281" s="1767">
        <v>0</v>
      </c>
      <c r="BL281" s="1767">
        <v>0</v>
      </c>
      <c r="BM281" s="1767">
        <v>0</v>
      </c>
      <c r="BN281" s="1767">
        <v>0</v>
      </c>
      <c r="BO281" s="1767">
        <v>0</v>
      </c>
      <c r="BP281" s="1767">
        <v>0</v>
      </c>
      <c r="BQ281" s="1767">
        <v>0</v>
      </c>
      <c r="BR281" s="1767">
        <v>0</v>
      </c>
      <c r="BS281" s="1767">
        <v>0</v>
      </c>
      <c r="BT281" s="1767">
        <v>0</v>
      </c>
      <c r="BU281" s="1767">
        <v>0</v>
      </c>
      <c r="BV281" s="1767">
        <v>0</v>
      </c>
      <c r="BW281" s="1767">
        <v>0</v>
      </c>
      <c r="BX281" s="1767">
        <v>0</v>
      </c>
      <c r="BY281" s="1767">
        <v>0</v>
      </c>
      <c r="BZ281" s="1767">
        <v>0</v>
      </c>
      <c r="CA281" s="1767">
        <v>0</v>
      </c>
      <c r="CB281" s="1767">
        <v>0</v>
      </c>
      <c r="CC281" s="1767">
        <v>0</v>
      </c>
      <c r="CD281" s="1767">
        <v>0</v>
      </c>
      <c r="CE281" s="1767">
        <v>0</v>
      </c>
      <c r="CF281" s="1767">
        <v>0</v>
      </c>
      <c r="CG281" s="1767">
        <v>0</v>
      </c>
      <c r="CH281" s="1767">
        <v>0</v>
      </c>
      <c r="CI281" s="1767">
        <v>0</v>
      </c>
      <c r="CJ281" s="1767">
        <v>0</v>
      </c>
      <c r="CK281" s="1767">
        <v>0</v>
      </c>
      <c r="CL281" s="1767">
        <v>0</v>
      </c>
      <c r="CM281" s="1767">
        <v>0</v>
      </c>
      <c r="CN281" s="1767">
        <v>0</v>
      </c>
      <c r="CO281" s="1767">
        <v>0</v>
      </c>
      <c r="CP281" s="1767">
        <v>0</v>
      </c>
    </row>
    <row r="282" spans="1:94" s="1237" customFormat="1" ht="15" customHeight="1" thickBot="1" x14ac:dyDescent="0.25">
      <c r="A282" s="1857"/>
      <c r="B282" s="1857"/>
      <c r="C282" s="800" t="s">
        <v>2274</v>
      </c>
      <c r="D282" s="1559"/>
      <c r="E282" s="1872"/>
      <c r="F282" s="1236"/>
      <c r="G282" s="1767">
        <v>0</v>
      </c>
      <c r="H282" s="1767">
        <v>0</v>
      </c>
      <c r="I282" s="1767">
        <v>0</v>
      </c>
      <c r="J282" s="1767">
        <v>0</v>
      </c>
      <c r="K282" s="1767">
        <v>0</v>
      </c>
      <c r="L282" s="1767">
        <v>0</v>
      </c>
      <c r="M282" s="1767">
        <v>0</v>
      </c>
      <c r="N282" s="1767">
        <v>0</v>
      </c>
      <c r="O282" s="1767">
        <v>0</v>
      </c>
      <c r="P282" s="1767">
        <v>0</v>
      </c>
      <c r="Q282" s="1767">
        <v>0</v>
      </c>
      <c r="R282" s="1767">
        <v>0</v>
      </c>
      <c r="S282" s="1767">
        <v>0</v>
      </c>
      <c r="T282" s="1767">
        <v>0</v>
      </c>
      <c r="U282" s="1767">
        <v>0</v>
      </c>
      <c r="V282" s="1767">
        <v>0</v>
      </c>
      <c r="W282" s="1767">
        <v>0</v>
      </c>
      <c r="X282" s="1767">
        <v>0</v>
      </c>
      <c r="Y282" s="1767">
        <v>0</v>
      </c>
      <c r="Z282" s="1767">
        <v>0</v>
      </c>
      <c r="AA282" s="1767">
        <v>0</v>
      </c>
      <c r="AB282" s="1767">
        <v>0</v>
      </c>
      <c r="AC282" s="1767">
        <v>0</v>
      </c>
      <c r="AD282" s="1767">
        <v>0</v>
      </c>
      <c r="AE282" s="1767">
        <v>0</v>
      </c>
      <c r="AF282" s="1767">
        <v>0</v>
      </c>
      <c r="AG282" s="1767">
        <v>0</v>
      </c>
      <c r="AH282" s="1767">
        <v>0</v>
      </c>
      <c r="AI282" s="1767">
        <v>0</v>
      </c>
      <c r="AJ282" s="1767">
        <v>0</v>
      </c>
      <c r="AK282" s="1767">
        <v>0</v>
      </c>
      <c r="AL282" s="1767">
        <v>0</v>
      </c>
      <c r="AM282" s="1767">
        <v>0</v>
      </c>
      <c r="AN282" s="1767">
        <v>0</v>
      </c>
      <c r="AO282" s="1767">
        <v>0</v>
      </c>
      <c r="AP282" s="1767">
        <v>0</v>
      </c>
      <c r="AQ282" s="1767">
        <v>0</v>
      </c>
      <c r="AR282" s="1767">
        <v>0</v>
      </c>
      <c r="AS282" s="1767">
        <v>0</v>
      </c>
      <c r="AT282" s="1767">
        <v>0</v>
      </c>
      <c r="AU282" s="1767">
        <v>0</v>
      </c>
      <c r="AV282" s="1767">
        <v>0</v>
      </c>
      <c r="AW282" s="1767">
        <v>0</v>
      </c>
      <c r="AX282" s="1767">
        <v>0</v>
      </c>
      <c r="AY282" s="1767">
        <v>0</v>
      </c>
      <c r="AZ282" s="1767">
        <v>0</v>
      </c>
      <c r="BA282" s="1767">
        <v>0</v>
      </c>
      <c r="BB282" s="1767">
        <v>0</v>
      </c>
      <c r="BC282" s="1767">
        <v>0</v>
      </c>
      <c r="BD282" s="1767">
        <v>0</v>
      </c>
      <c r="BE282" s="1767">
        <v>0</v>
      </c>
      <c r="BF282" s="1767">
        <v>0</v>
      </c>
      <c r="BG282" s="1767">
        <v>0</v>
      </c>
      <c r="BH282" s="1767">
        <v>0</v>
      </c>
      <c r="BI282" s="1767">
        <v>0</v>
      </c>
      <c r="BJ282" s="1767">
        <v>0</v>
      </c>
      <c r="BK282" s="1767">
        <v>0</v>
      </c>
      <c r="BL282" s="1767">
        <v>0</v>
      </c>
      <c r="BM282" s="1767">
        <v>0</v>
      </c>
      <c r="BN282" s="1767">
        <v>0</v>
      </c>
      <c r="BO282" s="1767">
        <v>0</v>
      </c>
      <c r="BP282" s="1767">
        <v>0</v>
      </c>
      <c r="BQ282" s="1767">
        <v>0</v>
      </c>
      <c r="BR282" s="1767">
        <v>0</v>
      </c>
      <c r="BS282" s="1767">
        <v>0</v>
      </c>
      <c r="BT282" s="1767">
        <v>0</v>
      </c>
      <c r="BU282" s="1767">
        <v>0</v>
      </c>
      <c r="BV282" s="1767">
        <v>0</v>
      </c>
      <c r="BW282" s="1767">
        <v>0</v>
      </c>
      <c r="BX282" s="1767">
        <v>0</v>
      </c>
      <c r="BY282" s="1767">
        <v>0</v>
      </c>
      <c r="BZ282" s="1767">
        <v>0</v>
      </c>
      <c r="CA282" s="1767">
        <v>0</v>
      </c>
      <c r="CB282" s="1767">
        <v>0</v>
      </c>
      <c r="CC282" s="1767">
        <v>0</v>
      </c>
      <c r="CD282" s="1767">
        <v>0</v>
      </c>
      <c r="CE282" s="1767">
        <v>0</v>
      </c>
      <c r="CF282" s="1767">
        <v>0</v>
      </c>
      <c r="CG282" s="1767">
        <v>0</v>
      </c>
      <c r="CH282" s="1767">
        <v>0</v>
      </c>
      <c r="CI282" s="1767">
        <v>0</v>
      </c>
      <c r="CJ282" s="1767">
        <v>0</v>
      </c>
      <c r="CK282" s="1767">
        <v>0</v>
      </c>
      <c r="CL282" s="1767">
        <v>0</v>
      </c>
      <c r="CM282" s="1767">
        <v>0</v>
      </c>
      <c r="CN282" s="1767">
        <v>0</v>
      </c>
      <c r="CO282" s="1767">
        <v>0</v>
      </c>
      <c r="CP282" s="1767">
        <v>0</v>
      </c>
    </row>
    <row r="283" spans="1:94" ht="21" customHeight="1" thickBot="1" x14ac:dyDescent="0.25">
      <c r="A283" s="1887" t="s">
        <v>64</v>
      </c>
      <c r="B283" s="1846" t="s">
        <v>15</v>
      </c>
      <c r="C283" s="1777" t="s">
        <v>2538</v>
      </c>
      <c r="D283" s="947"/>
      <c r="E283" s="1830" t="s">
        <v>2053</v>
      </c>
      <c r="F283" s="1225"/>
      <c r="G283" s="1742"/>
      <c r="H283" s="1742"/>
      <c r="I283" s="1742"/>
      <c r="J283" s="1742"/>
      <c r="K283" s="1742"/>
      <c r="L283" s="1742"/>
      <c r="M283" s="1742"/>
      <c r="N283" s="1742"/>
      <c r="O283" s="1742"/>
      <c r="P283" s="1742"/>
      <c r="Q283" s="1742"/>
      <c r="R283" s="1742"/>
      <c r="S283" s="1742"/>
      <c r="T283" s="1742"/>
      <c r="U283" s="1742"/>
      <c r="V283" s="1742"/>
      <c r="W283" s="1742"/>
      <c r="X283" s="1742"/>
      <c r="Y283" s="1742"/>
      <c r="Z283" s="1742"/>
      <c r="AA283" s="1742"/>
      <c r="AB283" s="1742"/>
      <c r="AC283" s="1742"/>
      <c r="AD283" s="1742"/>
      <c r="AE283" s="1742"/>
      <c r="AF283" s="1742"/>
      <c r="AG283" s="1742"/>
      <c r="AH283" s="1742"/>
      <c r="AI283" s="1742"/>
      <c r="AJ283" s="1742"/>
      <c r="AK283" s="1742"/>
      <c r="AL283" s="1742"/>
      <c r="AM283" s="1742"/>
      <c r="AN283" s="1742"/>
      <c r="AO283" s="1742"/>
      <c r="AP283" s="1742"/>
      <c r="AQ283" s="1742"/>
      <c r="AR283" s="1742"/>
      <c r="AS283" s="1742"/>
      <c r="AT283" s="1742"/>
      <c r="AU283" s="1742"/>
      <c r="AV283" s="1742"/>
      <c r="AW283" s="1742"/>
      <c r="AX283" s="1742"/>
      <c r="AY283" s="1742"/>
      <c r="AZ283" s="1742"/>
      <c r="BA283" s="1742"/>
      <c r="BB283" s="1742"/>
      <c r="BC283" s="1742"/>
      <c r="BD283" s="1742"/>
      <c r="BE283" s="1742"/>
      <c r="BF283" s="1742"/>
      <c r="BG283" s="1742"/>
      <c r="BH283" s="1742"/>
      <c r="BI283" s="1742"/>
      <c r="BJ283" s="1742"/>
      <c r="BK283" s="1742"/>
      <c r="BL283" s="1742"/>
      <c r="BM283" s="1742"/>
      <c r="BN283" s="1742"/>
      <c r="BO283" s="1742"/>
      <c r="BP283" s="1742"/>
      <c r="BQ283" s="1742"/>
      <c r="BR283" s="1742"/>
      <c r="BS283" s="1742"/>
      <c r="BT283" s="1742"/>
      <c r="BU283" s="1742"/>
      <c r="BV283" s="1742"/>
      <c r="BW283" s="1742"/>
      <c r="BX283" s="1742"/>
      <c r="BY283" s="1742"/>
      <c r="BZ283" s="1742"/>
      <c r="CA283" s="1742"/>
      <c r="CB283" s="1742"/>
      <c r="CC283" s="1742"/>
      <c r="CD283" s="1742"/>
      <c r="CE283" s="1742"/>
      <c r="CF283" s="1742"/>
      <c r="CG283" s="1742"/>
      <c r="CH283" s="1742"/>
      <c r="CI283" s="1742"/>
      <c r="CJ283" s="1742"/>
      <c r="CK283" s="1742"/>
      <c r="CL283" s="1742"/>
      <c r="CM283" s="1742"/>
      <c r="CN283" s="1742"/>
      <c r="CO283" s="1742"/>
      <c r="CP283" s="1742"/>
    </row>
    <row r="284" spans="1:94" ht="27" customHeight="1" x14ac:dyDescent="0.2">
      <c r="A284" s="1847"/>
      <c r="B284" s="1856"/>
      <c r="C284" s="660" t="s">
        <v>1127</v>
      </c>
      <c r="D284" s="936"/>
      <c r="E284" s="1864"/>
      <c r="F284" s="1225"/>
      <c r="G284" s="1769">
        <v>0</v>
      </c>
      <c r="H284" s="1769">
        <v>0</v>
      </c>
      <c r="I284" s="1769">
        <v>0</v>
      </c>
      <c r="J284" s="1769">
        <v>0</v>
      </c>
      <c r="K284" s="1769">
        <v>0</v>
      </c>
      <c r="L284" s="1769">
        <v>0</v>
      </c>
      <c r="M284" s="1769">
        <v>0</v>
      </c>
      <c r="N284" s="1769">
        <v>0</v>
      </c>
      <c r="O284" s="1769">
        <v>0</v>
      </c>
      <c r="P284" s="1769">
        <v>0</v>
      </c>
      <c r="Q284" s="1769">
        <v>0</v>
      </c>
      <c r="R284" s="1769">
        <v>0</v>
      </c>
      <c r="S284" s="1769">
        <v>0</v>
      </c>
      <c r="T284" s="1769">
        <v>0</v>
      </c>
      <c r="U284" s="1769">
        <v>0</v>
      </c>
      <c r="V284" s="1769">
        <v>0</v>
      </c>
      <c r="W284" s="1769">
        <v>0</v>
      </c>
      <c r="X284" s="1769">
        <v>0</v>
      </c>
      <c r="Y284" s="1769">
        <v>0</v>
      </c>
      <c r="Z284" s="1769">
        <v>0</v>
      </c>
      <c r="AA284" s="1769">
        <v>0</v>
      </c>
      <c r="AB284" s="1769">
        <v>0</v>
      </c>
      <c r="AC284" s="1769">
        <v>0</v>
      </c>
      <c r="AD284" s="1769">
        <v>0</v>
      </c>
      <c r="AE284" s="1769">
        <v>0</v>
      </c>
      <c r="AF284" s="1769">
        <v>0</v>
      </c>
      <c r="AG284" s="1769">
        <v>0</v>
      </c>
      <c r="AH284" s="1769">
        <v>0</v>
      </c>
      <c r="AI284" s="1769">
        <v>0</v>
      </c>
      <c r="AJ284" s="1769">
        <v>0</v>
      </c>
      <c r="AK284" s="1769">
        <v>0</v>
      </c>
      <c r="AL284" s="1769">
        <v>0</v>
      </c>
      <c r="AM284" s="1769">
        <v>0</v>
      </c>
      <c r="AN284" s="1769">
        <v>0</v>
      </c>
      <c r="AO284" s="1769">
        <v>0</v>
      </c>
      <c r="AP284" s="1769">
        <v>0</v>
      </c>
      <c r="AQ284" s="1769">
        <v>0</v>
      </c>
      <c r="AR284" s="1769">
        <v>0</v>
      </c>
      <c r="AS284" s="1769">
        <v>0</v>
      </c>
      <c r="AT284" s="1769">
        <v>0</v>
      </c>
      <c r="AU284" s="1769">
        <v>0</v>
      </c>
      <c r="AV284" s="1769">
        <v>0</v>
      </c>
      <c r="AW284" s="1769">
        <v>0</v>
      </c>
      <c r="AX284" s="1769">
        <v>0</v>
      </c>
      <c r="AY284" s="1769">
        <v>0</v>
      </c>
      <c r="AZ284" s="1769">
        <v>0</v>
      </c>
      <c r="BA284" s="1769">
        <v>0</v>
      </c>
      <c r="BB284" s="1769">
        <v>0</v>
      </c>
      <c r="BC284" s="1769">
        <v>0</v>
      </c>
      <c r="BD284" s="1769">
        <v>0</v>
      </c>
      <c r="BE284" s="1769">
        <v>0</v>
      </c>
      <c r="BF284" s="1769">
        <v>0</v>
      </c>
      <c r="BG284" s="1769">
        <v>0</v>
      </c>
      <c r="BH284" s="1769">
        <v>0</v>
      </c>
      <c r="BI284" s="1769">
        <v>0</v>
      </c>
      <c r="BJ284" s="1769">
        <v>0</v>
      </c>
      <c r="BK284" s="1769">
        <v>0</v>
      </c>
      <c r="BL284" s="1769">
        <v>0</v>
      </c>
      <c r="BM284" s="1769">
        <v>0</v>
      </c>
      <c r="BN284" s="1769">
        <v>0</v>
      </c>
      <c r="BO284" s="1769">
        <v>0</v>
      </c>
      <c r="BP284" s="1769">
        <v>0</v>
      </c>
      <c r="BQ284" s="1769">
        <v>0</v>
      </c>
      <c r="BR284" s="1769">
        <v>0</v>
      </c>
      <c r="BS284" s="1769">
        <v>0</v>
      </c>
      <c r="BT284" s="1769">
        <v>0</v>
      </c>
      <c r="BU284" s="1769">
        <v>0</v>
      </c>
      <c r="BV284" s="1769">
        <v>0</v>
      </c>
      <c r="BW284" s="1769">
        <v>0</v>
      </c>
      <c r="BX284" s="1769">
        <v>0</v>
      </c>
      <c r="BY284" s="1769">
        <v>0</v>
      </c>
      <c r="BZ284" s="1769">
        <v>0</v>
      </c>
      <c r="CA284" s="1769">
        <v>0</v>
      </c>
      <c r="CB284" s="1769">
        <v>0</v>
      </c>
      <c r="CC284" s="1769">
        <v>0</v>
      </c>
      <c r="CD284" s="1769">
        <v>0</v>
      </c>
      <c r="CE284" s="1769">
        <v>0</v>
      </c>
      <c r="CF284" s="1769">
        <v>0</v>
      </c>
      <c r="CG284" s="1769">
        <v>0</v>
      </c>
      <c r="CH284" s="1769">
        <v>0</v>
      </c>
      <c r="CI284" s="1769">
        <v>0</v>
      </c>
      <c r="CJ284" s="1769">
        <v>0</v>
      </c>
      <c r="CK284" s="1769">
        <v>0</v>
      </c>
      <c r="CL284" s="1769">
        <v>0</v>
      </c>
      <c r="CM284" s="1769">
        <v>0</v>
      </c>
      <c r="CN284" s="1769">
        <v>0</v>
      </c>
      <c r="CO284" s="1769">
        <v>0</v>
      </c>
      <c r="CP284" s="1769">
        <v>0</v>
      </c>
    </row>
    <row r="285" spans="1:94" ht="27" customHeight="1" x14ac:dyDescent="0.2">
      <c r="A285" s="1847"/>
      <c r="B285" s="1856"/>
      <c r="C285" s="653" t="s">
        <v>581</v>
      </c>
      <c r="D285" s="936"/>
      <c r="E285" s="1864"/>
      <c r="F285" s="1225"/>
      <c r="G285" s="1767">
        <v>0</v>
      </c>
      <c r="H285" s="1767">
        <v>0</v>
      </c>
      <c r="I285" s="1767">
        <v>0</v>
      </c>
      <c r="J285" s="1767">
        <v>0</v>
      </c>
      <c r="K285" s="1767">
        <v>0</v>
      </c>
      <c r="L285" s="1767">
        <v>0</v>
      </c>
      <c r="M285" s="1767">
        <v>0</v>
      </c>
      <c r="N285" s="1767">
        <v>0</v>
      </c>
      <c r="O285" s="1767">
        <v>0</v>
      </c>
      <c r="P285" s="1767">
        <v>0</v>
      </c>
      <c r="Q285" s="1767">
        <v>0</v>
      </c>
      <c r="R285" s="1767">
        <v>0</v>
      </c>
      <c r="S285" s="1767">
        <v>0</v>
      </c>
      <c r="T285" s="1767">
        <v>0</v>
      </c>
      <c r="U285" s="1767">
        <v>0</v>
      </c>
      <c r="V285" s="1767">
        <v>0</v>
      </c>
      <c r="W285" s="1767">
        <v>0</v>
      </c>
      <c r="X285" s="1767">
        <v>0</v>
      </c>
      <c r="Y285" s="1767">
        <v>0</v>
      </c>
      <c r="Z285" s="1767">
        <v>0</v>
      </c>
      <c r="AA285" s="1767">
        <v>0</v>
      </c>
      <c r="AB285" s="1767">
        <v>0</v>
      </c>
      <c r="AC285" s="1767">
        <v>0</v>
      </c>
      <c r="AD285" s="1767">
        <v>0</v>
      </c>
      <c r="AE285" s="1767">
        <v>0</v>
      </c>
      <c r="AF285" s="1767">
        <v>0</v>
      </c>
      <c r="AG285" s="1767">
        <v>0</v>
      </c>
      <c r="AH285" s="1767">
        <v>0</v>
      </c>
      <c r="AI285" s="1767">
        <v>0</v>
      </c>
      <c r="AJ285" s="1767">
        <v>0</v>
      </c>
      <c r="AK285" s="1767">
        <v>0</v>
      </c>
      <c r="AL285" s="1767">
        <v>0</v>
      </c>
      <c r="AM285" s="1767">
        <v>0</v>
      </c>
      <c r="AN285" s="1767">
        <v>0</v>
      </c>
      <c r="AO285" s="1767">
        <v>0</v>
      </c>
      <c r="AP285" s="1767">
        <v>0</v>
      </c>
      <c r="AQ285" s="1767">
        <v>0</v>
      </c>
      <c r="AR285" s="1767">
        <v>0</v>
      </c>
      <c r="AS285" s="1767">
        <v>0</v>
      </c>
      <c r="AT285" s="1767">
        <v>0</v>
      </c>
      <c r="AU285" s="1767">
        <v>0</v>
      </c>
      <c r="AV285" s="1767">
        <v>0</v>
      </c>
      <c r="AW285" s="1767">
        <v>0</v>
      </c>
      <c r="AX285" s="1767">
        <v>0</v>
      </c>
      <c r="AY285" s="1767">
        <v>0</v>
      </c>
      <c r="AZ285" s="1767">
        <v>0</v>
      </c>
      <c r="BA285" s="1767">
        <v>0</v>
      </c>
      <c r="BB285" s="1767">
        <v>0</v>
      </c>
      <c r="BC285" s="1767">
        <v>0</v>
      </c>
      <c r="BD285" s="1767">
        <v>0</v>
      </c>
      <c r="BE285" s="1767">
        <v>0</v>
      </c>
      <c r="BF285" s="1767">
        <v>0</v>
      </c>
      <c r="BG285" s="1767">
        <v>0</v>
      </c>
      <c r="BH285" s="1767">
        <v>0</v>
      </c>
      <c r="BI285" s="1767">
        <v>0</v>
      </c>
      <c r="BJ285" s="1767">
        <v>0</v>
      </c>
      <c r="BK285" s="1767">
        <v>0</v>
      </c>
      <c r="BL285" s="1767">
        <v>0</v>
      </c>
      <c r="BM285" s="1767">
        <v>0</v>
      </c>
      <c r="BN285" s="1767">
        <v>0</v>
      </c>
      <c r="BO285" s="1767">
        <v>0</v>
      </c>
      <c r="BP285" s="1767">
        <v>0</v>
      </c>
      <c r="BQ285" s="1767">
        <v>0</v>
      </c>
      <c r="BR285" s="1767">
        <v>0</v>
      </c>
      <c r="BS285" s="1767">
        <v>0</v>
      </c>
      <c r="BT285" s="1767">
        <v>0</v>
      </c>
      <c r="BU285" s="1767">
        <v>0</v>
      </c>
      <c r="BV285" s="1767">
        <v>0</v>
      </c>
      <c r="BW285" s="1767">
        <v>0</v>
      </c>
      <c r="BX285" s="1767">
        <v>0</v>
      </c>
      <c r="BY285" s="1767">
        <v>0</v>
      </c>
      <c r="BZ285" s="1767">
        <v>0</v>
      </c>
      <c r="CA285" s="1767">
        <v>0</v>
      </c>
      <c r="CB285" s="1767">
        <v>0</v>
      </c>
      <c r="CC285" s="1767">
        <v>0</v>
      </c>
      <c r="CD285" s="1767">
        <v>0</v>
      </c>
      <c r="CE285" s="1767">
        <v>0</v>
      </c>
      <c r="CF285" s="1767">
        <v>0</v>
      </c>
      <c r="CG285" s="1767">
        <v>0</v>
      </c>
      <c r="CH285" s="1767">
        <v>0</v>
      </c>
      <c r="CI285" s="1767">
        <v>0</v>
      </c>
      <c r="CJ285" s="1767">
        <v>0</v>
      </c>
      <c r="CK285" s="1767">
        <v>0</v>
      </c>
      <c r="CL285" s="1767">
        <v>0</v>
      </c>
      <c r="CM285" s="1767">
        <v>0</v>
      </c>
      <c r="CN285" s="1767">
        <v>0</v>
      </c>
      <c r="CO285" s="1767">
        <v>0</v>
      </c>
      <c r="CP285" s="1767">
        <v>0</v>
      </c>
    </row>
    <row r="286" spans="1:94" ht="27" customHeight="1" x14ac:dyDescent="0.2">
      <c r="A286" s="1847"/>
      <c r="B286" s="1856"/>
      <c r="C286" s="653" t="s">
        <v>484</v>
      </c>
      <c r="D286" s="936"/>
      <c r="E286" s="1864"/>
      <c r="F286" s="1225"/>
      <c r="G286" s="1767">
        <v>0</v>
      </c>
      <c r="H286" s="1767">
        <v>0</v>
      </c>
      <c r="I286" s="1767">
        <v>0</v>
      </c>
      <c r="J286" s="1767">
        <v>0</v>
      </c>
      <c r="K286" s="1767">
        <v>0</v>
      </c>
      <c r="L286" s="1767">
        <v>0</v>
      </c>
      <c r="M286" s="1767">
        <v>0</v>
      </c>
      <c r="N286" s="1767">
        <v>0</v>
      </c>
      <c r="O286" s="1767">
        <v>0</v>
      </c>
      <c r="P286" s="1767">
        <v>0</v>
      </c>
      <c r="Q286" s="1767">
        <v>0</v>
      </c>
      <c r="R286" s="1767">
        <v>0</v>
      </c>
      <c r="S286" s="1767">
        <v>0</v>
      </c>
      <c r="T286" s="1767">
        <v>0</v>
      </c>
      <c r="U286" s="1767">
        <v>0</v>
      </c>
      <c r="V286" s="1767">
        <v>0</v>
      </c>
      <c r="W286" s="1767">
        <v>0</v>
      </c>
      <c r="X286" s="1767">
        <v>0</v>
      </c>
      <c r="Y286" s="1767">
        <v>0</v>
      </c>
      <c r="Z286" s="1767">
        <v>0</v>
      </c>
      <c r="AA286" s="1767">
        <v>0</v>
      </c>
      <c r="AB286" s="1767">
        <v>0</v>
      </c>
      <c r="AC286" s="1767">
        <v>0</v>
      </c>
      <c r="AD286" s="1767">
        <v>0</v>
      </c>
      <c r="AE286" s="1767">
        <v>0</v>
      </c>
      <c r="AF286" s="1767">
        <v>0</v>
      </c>
      <c r="AG286" s="1767">
        <v>0</v>
      </c>
      <c r="AH286" s="1767">
        <v>0</v>
      </c>
      <c r="AI286" s="1767">
        <v>0</v>
      </c>
      <c r="AJ286" s="1767">
        <v>0</v>
      </c>
      <c r="AK286" s="1767">
        <v>0</v>
      </c>
      <c r="AL286" s="1767">
        <v>0</v>
      </c>
      <c r="AM286" s="1767">
        <v>0</v>
      </c>
      <c r="AN286" s="1767">
        <v>0</v>
      </c>
      <c r="AO286" s="1767">
        <v>0</v>
      </c>
      <c r="AP286" s="1767">
        <v>0</v>
      </c>
      <c r="AQ286" s="1767">
        <v>0</v>
      </c>
      <c r="AR286" s="1767">
        <v>0</v>
      </c>
      <c r="AS286" s="1767">
        <v>0</v>
      </c>
      <c r="AT286" s="1767">
        <v>0</v>
      </c>
      <c r="AU286" s="1767">
        <v>0</v>
      </c>
      <c r="AV286" s="1767">
        <v>0</v>
      </c>
      <c r="AW286" s="1767">
        <v>0</v>
      </c>
      <c r="AX286" s="1767">
        <v>0</v>
      </c>
      <c r="AY286" s="1767">
        <v>0</v>
      </c>
      <c r="AZ286" s="1767">
        <v>0</v>
      </c>
      <c r="BA286" s="1767">
        <v>0</v>
      </c>
      <c r="BB286" s="1767">
        <v>0</v>
      </c>
      <c r="BC286" s="1767">
        <v>0</v>
      </c>
      <c r="BD286" s="1767">
        <v>0</v>
      </c>
      <c r="BE286" s="1767">
        <v>0</v>
      </c>
      <c r="BF286" s="1767">
        <v>0</v>
      </c>
      <c r="BG286" s="1767">
        <v>0</v>
      </c>
      <c r="BH286" s="1767">
        <v>0</v>
      </c>
      <c r="BI286" s="1767">
        <v>0</v>
      </c>
      <c r="BJ286" s="1767">
        <v>0</v>
      </c>
      <c r="BK286" s="1767">
        <v>0</v>
      </c>
      <c r="BL286" s="1767">
        <v>0</v>
      </c>
      <c r="BM286" s="1767">
        <v>0</v>
      </c>
      <c r="BN286" s="1767">
        <v>0</v>
      </c>
      <c r="BO286" s="1767">
        <v>0</v>
      </c>
      <c r="BP286" s="1767">
        <v>0</v>
      </c>
      <c r="BQ286" s="1767">
        <v>0</v>
      </c>
      <c r="BR286" s="1767">
        <v>0</v>
      </c>
      <c r="BS286" s="1767">
        <v>0</v>
      </c>
      <c r="BT286" s="1767">
        <v>0</v>
      </c>
      <c r="BU286" s="1767">
        <v>0</v>
      </c>
      <c r="BV286" s="1767">
        <v>0</v>
      </c>
      <c r="BW286" s="1767">
        <v>0</v>
      </c>
      <c r="BX286" s="1767">
        <v>0</v>
      </c>
      <c r="BY286" s="1767">
        <v>0</v>
      </c>
      <c r="BZ286" s="1767">
        <v>0</v>
      </c>
      <c r="CA286" s="1767">
        <v>0</v>
      </c>
      <c r="CB286" s="1767">
        <v>0</v>
      </c>
      <c r="CC286" s="1767">
        <v>0</v>
      </c>
      <c r="CD286" s="1767">
        <v>0</v>
      </c>
      <c r="CE286" s="1767">
        <v>0</v>
      </c>
      <c r="CF286" s="1767">
        <v>0</v>
      </c>
      <c r="CG286" s="1767">
        <v>0</v>
      </c>
      <c r="CH286" s="1767">
        <v>0</v>
      </c>
      <c r="CI286" s="1767">
        <v>0</v>
      </c>
      <c r="CJ286" s="1767">
        <v>0</v>
      </c>
      <c r="CK286" s="1767">
        <v>0</v>
      </c>
      <c r="CL286" s="1767">
        <v>0</v>
      </c>
      <c r="CM286" s="1767">
        <v>0</v>
      </c>
      <c r="CN286" s="1767">
        <v>0</v>
      </c>
      <c r="CO286" s="1767">
        <v>0</v>
      </c>
      <c r="CP286" s="1767">
        <v>0</v>
      </c>
    </row>
    <row r="287" spans="1:94" ht="27.75" customHeight="1" thickBot="1" x14ac:dyDescent="0.25">
      <c r="A287" s="1848"/>
      <c r="B287" s="1857"/>
      <c r="C287" s="654" t="s">
        <v>550</v>
      </c>
      <c r="D287" s="950"/>
      <c r="E287" s="1865"/>
      <c r="F287" s="1225"/>
      <c r="G287" s="1767">
        <v>0</v>
      </c>
      <c r="H287" s="1767">
        <v>0</v>
      </c>
      <c r="I287" s="1767">
        <v>0</v>
      </c>
      <c r="J287" s="1767">
        <v>0</v>
      </c>
      <c r="K287" s="1767">
        <v>0</v>
      </c>
      <c r="L287" s="1767">
        <v>0</v>
      </c>
      <c r="M287" s="1767">
        <v>0</v>
      </c>
      <c r="N287" s="1767">
        <v>0</v>
      </c>
      <c r="O287" s="1767">
        <v>0</v>
      </c>
      <c r="P287" s="1767">
        <v>0</v>
      </c>
      <c r="Q287" s="1767">
        <v>0</v>
      </c>
      <c r="R287" s="1767">
        <v>0</v>
      </c>
      <c r="S287" s="1767">
        <v>0</v>
      </c>
      <c r="T287" s="1767">
        <v>0</v>
      </c>
      <c r="U287" s="1767">
        <v>0</v>
      </c>
      <c r="V287" s="1767">
        <v>0</v>
      </c>
      <c r="W287" s="1767">
        <v>0</v>
      </c>
      <c r="X287" s="1767">
        <v>0</v>
      </c>
      <c r="Y287" s="1767">
        <v>0</v>
      </c>
      <c r="Z287" s="1767">
        <v>0</v>
      </c>
      <c r="AA287" s="1767">
        <v>0</v>
      </c>
      <c r="AB287" s="1767">
        <v>0</v>
      </c>
      <c r="AC287" s="1767">
        <v>0</v>
      </c>
      <c r="AD287" s="1767">
        <v>0</v>
      </c>
      <c r="AE287" s="1767">
        <v>0</v>
      </c>
      <c r="AF287" s="1767">
        <v>0</v>
      </c>
      <c r="AG287" s="1767">
        <v>0</v>
      </c>
      <c r="AH287" s="1767">
        <v>0</v>
      </c>
      <c r="AI287" s="1767">
        <v>0</v>
      </c>
      <c r="AJ287" s="1767">
        <v>0</v>
      </c>
      <c r="AK287" s="1767">
        <v>0</v>
      </c>
      <c r="AL287" s="1767">
        <v>0</v>
      </c>
      <c r="AM287" s="1767">
        <v>0</v>
      </c>
      <c r="AN287" s="1767">
        <v>0</v>
      </c>
      <c r="AO287" s="1767">
        <v>0</v>
      </c>
      <c r="AP287" s="1767">
        <v>0</v>
      </c>
      <c r="AQ287" s="1767">
        <v>0</v>
      </c>
      <c r="AR287" s="1767">
        <v>0</v>
      </c>
      <c r="AS287" s="1767">
        <v>0</v>
      </c>
      <c r="AT287" s="1767">
        <v>0</v>
      </c>
      <c r="AU287" s="1767">
        <v>0</v>
      </c>
      <c r="AV287" s="1767">
        <v>0</v>
      </c>
      <c r="AW287" s="1767">
        <v>0</v>
      </c>
      <c r="AX287" s="1767">
        <v>0</v>
      </c>
      <c r="AY287" s="1767">
        <v>0</v>
      </c>
      <c r="AZ287" s="1767">
        <v>0</v>
      </c>
      <c r="BA287" s="1767">
        <v>0</v>
      </c>
      <c r="BB287" s="1767">
        <v>0</v>
      </c>
      <c r="BC287" s="1767">
        <v>0</v>
      </c>
      <c r="BD287" s="1767">
        <v>0</v>
      </c>
      <c r="BE287" s="1767">
        <v>0</v>
      </c>
      <c r="BF287" s="1767">
        <v>0</v>
      </c>
      <c r="BG287" s="1767">
        <v>0</v>
      </c>
      <c r="BH287" s="1767">
        <v>0</v>
      </c>
      <c r="BI287" s="1767">
        <v>0</v>
      </c>
      <c r="BJ287" s="1767">
        <v>0</v>
      </c>
      <c r="BK287" s="1767">
        <v>0</v>
      </c>
      <c r="BL287" s="1767">
        <v>0</v>
      </c>
      <c r="BM287" s="1767">
        <v>0</v>
      </c>
      <c r="BN287" s="1767">
        <v>0</v>
      </c>
      <c r="BO287" s="1767">
        <v>0</v>
      </c>
      <c r="BP287" s="1767">
        <v>0</v>
      </c>
      <c r="BQ287" s="1767">
        <v>0</v>
      </c>
      <c r="BR287" s="1767">
        <v>0</v>
      </c>
      <c r="BS287" s="1767">
        <v>0</v>
      </c>
      <c r="BT287" s="1767">
        <v>0</v>
      </c>
      <c r="BU287" s="1767">
        <v>0</v>
      </c>
      <c r="BV287" s="1767">
        <v>0</v>
      </c>
      <c r="BW287" s="1767">
        <v>0</v>
      </c>
      <c r="BX287" s="1767">
        <v>0</v>
      </c>
      <c r="BY287" s="1767">
        <v>0</v>
      </c>
      <c r="BZ287" s="1767">
        <v>0</v>
      </c>
      <c r="CA287" s="1767">
        <v>0</v>
      </c>
      <c r="CB287" s="1767">
        <v>0</v>
      </c>
      <c r="CC287" s="1767">
        <v>0</v>
      </c>
      <c r="CD287" s="1767">
        <v>0</v>
      </c>
      <c r="CE287" s="1767">
        <v>0</v>
      </c>
      <c r="CF287" s="1767">
        <v>0</v>
      </c>
      <c r="CG287" s="1767">
        <v>0</v>
      </c>
      <c r="CH287" s="1767">
        <v>0</v>
      </c>
      <c r="CI287" s="1767">
        <v>0</v>
      </c>
      <c r="CJ287" s="1767">
        <v>0</v>
      </c>
      <c r="CK287" s="1767">
        <v>0</v>
      </c>
      <c r="CL287" s="1767">
        <v>0</v>
      </c>
      <c r="CM287" s="1767">
        <v>0</v>
      </c>
      <c r="CN287" s="1767">
        <v>0</v>
      </c>
      <c r="CO287" s="1767">
        <v>0</v>
      </c>
      <c r="CP287" s="1767">
        <v>0</v>
      </c>
    </row>
    <row r="288" spans="1:94" ht="60.75" customHeight="1" thickBot="1" x14ac:dyDescent="0.25">
      <c r="A288" s="1858" t="s">
        <v>242</v>
      </c>
      <c r="B288" s="1856" t="s">
        <v>563</v>
      </c>
      <c r="C288" s="1788" t="s">
        <v>2337</v>
      </c>
      <c r="D288" s="946"/>
      <c r="E288" s="1831" t="s">
        <v>2338</v>
      </c>
      <c r="F288" s="1225"/>
      <c r="G288" s="1742"/>
      <c r="H288" s="1742"/>
      <c r="I288" s="1742"/>
      <c r="J288" s="1742"/>
      <c r="K288" s="1742"/>
      <c r="L288" s="1742"/>
      <c r="M288" s="1742"/>
      <c r="N288" s="1742"/>
      <c r="O288" s="1742"/>
      <c r="P288" s="1742"/>
      <c r="Q288" s="1742"/>
      <c r="R288" s="1742"/>
      <c r="S288" s="1742"/>
      <c r="T288" s="1742"/>
      <c r="U288" s="1742"/>
      <c r="V288" s="1742"/>
      <c r="W288" s="1742"/>
      <c r="X288" s="1742"/>
      <c r="Y288" s="1742"/>
      <c r="Z288" s="1742"/>
      <c r="AA288" s="1742"/>
      <c r="AB288" s="1742"/>
      <c r="AC288" s="1742"/>
      <c r="AD288" s="1742"/>
      <c r="AE288" s="1742"/>
      <c r="AF288" s="1742"/>
      <c r="AG288" s="1742"/>
      <c r="AH288" s="1742"/>
      <c r="AI288" s="1742"/>
      <c r="AJ288" s="1742"/>
      <c r="AK288" s="1742"/>
      <c r="AL288" s="1742"/>
      <c r="AM288" s="1742"/>
      <c r="AN288" s="1742"/>
      <c r="AO288" s="1742"/>
      <c r="AP288" s="1742"/>
      <c r="AQ288" s="1742"/>
      <c r="AR288" s="1742"/>
      <c r="AS288" s="1742"/>
      <c r="AT288" s="1742"/>
      <c r="AU288" s="1742"/>
      <c r="AV288" s="1742"/>
      <c r="AW288" s="1742"/>
      <c r="AX288" s="1742"/>
      <c r="AY288" s="1742"/>
      <c r="AZ288" s="1742"/>
      <c r="BA288" s="1742"/>
      <c r="BB288" s="1742"/>
      <c r="BC288" s="1742"/>
      <c r="BD288" s="1742"/>
      <c r="BE288" s="1742"/>
      <c r="BF288" s="1742"/>
      <c r="BG288" s="1742"/>
      <c r="BH288" s="1742"/>
      <c r="BI288" s="1742"/>
      <c r="BJ288" s="1742"/>
      <c r="BK288" s="1742"/>
      <c r="BL288" s="1742"/>
      <c r="BM288" s="1742"/>
      <c r="BN288" s="1742"/>
      <c r="BO288" s="1742"/>
      <c r="BP288" s="1742"/>
      <c r="BQ288" s="1742"/>
      <c r="BR288" s="1742"/>
      <c r="BS288" s="1742"/>
      <c r="BT288" s="1742"/>
      <c r="BU288" s="1742"/>
      <c r="BV288" s="1742"/>
      <c r="BW288" s="1742"/>
      <c r="BX288" s="1742"/>
      <c r="BY288" s="1742"/>
      <c r="BZ288" s="1742"/>
      <c r="CA288" s="1742"/>
      <c r="CB288" s="1742"/>
      <c r="CC288" s="1742"/>
      <c r="CD288" s="1742"/>
      <c r="CE288" s="1742"/>
      <c r="CF288" s="1742"/>
      <c r="CG288" s="1742"/>
      <c r="CH288" s="1742"/>
      <c r="CI288" s="1742"/>
      <c r="CJ288" s="1742"/>
      <c r="CK288" s="1742"/>
      <c r="CL288" s="1742"/>
      <c r="CM288" s="1742"/>
      <c r="CN288" s="1742"/>
      <c r="CO288" s="1742"/>
      <c r="CP288" s="1742"/>
    </row>
    <row r="289" spans="1:94" ht="15" customHeight="1" x14ac:dyDescent="0.2">
      <c r="A289" s="1858"/>
      <c r="B289" s="1856"/>
      <c r="C289" s="666" t="s">
        <v>2137</v>
      </c>
      <c r="D289" s="936"/>
      <c r="E289" s="1862"/>
      <c r="F289" s="1225"/>
      <c r="G289" s="1767">
        <v>0</v>
      </c>
      <c r="H289" s="1767">
        <v>0</v>
      </c>
      <c r="I289" s="1767">
        <v>0</v>
      </c>
      <c r="J289" s="1767">
        <v>0</v>
      </c>
      <c r="K289" s="1767">
        <v>0</v>
      </c>
      <c r="L289" s="1767">
        <v>0</v>
      </c>
      <c r="M289" s="1767">
        <v>0</v>
      </c>
      <c r="N289" s="1767">
        <v>0</v>
      </c>
      <c r="O289" s="1767">
        <v>0</v>
      </c>
      <c r="P289" s="1767">
        <v>0</v>
      </c>
      <c r="Q289" s="1767">
        <v>0</v>
      </c>
      <c r="R289" s="1767">
        <v>0</v>
      </c>
      <c r="S289" s="1767">
        <v>0</v>
      </c>
      <c r="T289" s="1767">
        <v>0</v>
      </c>
      <c r="U289" s="1767">
        <v>0</v>
      </c>
      <c r="V289" s="1767">
        <v>0</v>
      </c>
      <c r="W289" s="1767">
        <v>0</v>
      </c>
      <c r="X289" s="1767">
        <v>0</v>
      </c>
      <c r="Y289" s="1767">
        <v>0</v>
      </c>
      <c r="Z289" s="1767">
        <v>0</v>
      </c>
      <c r="AA289" s="1767">
        <v>0</v>
      </c>
      <c r="AB289" s="1767">
        <v>0</v>
      </c>
      <c r="AC289" s="1767">
        <v>0</v>
      </c>
      <c r="AD289" s="1767">
        <v>0</v>
      </c>
      <c r="AE289" s="1767">
        <v>0</v>
      </c>
      <c r="AF289" s="1767">
        <v>0</v>
      </c>
      <c r="AG289" s="1767">
        <v>0</v>
      </c>
      <c r="AH289" s="1767">
        <v>0</v>
      </c>
      <c r="AI289" s="1767">
        <v>0</v>
      </c>
      <c r="AJ289" s="1767">
        <v>0</v>
      </c>
      <c r="AK289" s="1767">
        <v>0</v>
      </c>
      <c r="AL289" s="1767">
        <v>0</v>
      </c>
      <c r="AM289" s="1767">
        <v>0</v>
      </c>
      <c r="AN289" s="1767">
        <v>0</v>
      </c>
      <c r="AO289" s="1767">
        <v>0</v>
      </c>
      <c r="AP289" s="1767">
        <v>0</v>
      </c>
      <c r="AQ289" s="1767">
        <v>0</v>
      </c>
      <c r="AR289" s="1767">
        <v>0</v>
      </c>
      <c r="AS289" s="1767">
        <v>0</v>
      </c>
      <c r="AT289" s="1767">
        <v>0</v>
      </c>
      <c r="AU289" s="1767">
        <v>0</v>
      </c>
      <c r="AV289" s="1767">
        <v>0</v>
      </c>
      <c r="AW289" s="1767">
        <v>0</v>
      </c>
      <c r="AX289" s="1767">
        <v>0</v>
      </c>
      <c r="AY289" s="1767">
        <v>0</v>
      </c>
      <c r="AZ289" s="1767">
        <v>0</v>
      </c>
      <c r="BA289" s="1767">
        <v>0</v>
      </c>
      <c r="BB289" s="1767">
        <v>0</v>
      </c>
      <c r="BC289" s="1767">
        <v>0</v>
      </c>
      <c r="BD289" s="1767">
        <v>0</v>
      </c>
      <c r="BE289" s="1767">
        <v>0</v>
      </c>
      <c r="BF289" s="1767">
        <v>0</v>
      </c>
      <c r="BG289" s="1767">
        <v>0</v>
      </c>
      <c r="BH289" s="1767">
        <v>0</v>
      </c>
      <c r="BI289" s="1767">
        <v>0</v>
      </c>
      <c r="BJ289" s="1767">
        <v>0</v>
      </c>
      <c r="BK289" s="1767">
        <v>0</v>
      </c>
      <c r="BL289" s="1767">
        <v>0</v>
      </c>
      <c r="BM289" s="1767">
        <v>0</v>
      </c>
      <c r="BN289" s="1767">
        <v>0</v>
      </c>
      <c r="BO289" s="1767">
        <v>0</v>
      </c>
      <c r="BP289" s="1767">
        <v>0</v>
      </c>
      <c r="BQ289" s="1767">
        <v>0</v>
      </c>
      <c r="BR289" s="1767">
        <v>0</v>
      </c>
      <c r="BS289" s="1767">
        <v>0</v>
      </c>
      <c r="BT289" s="1767">
        <v>0</v>
      </c>
      <c r="BU289" s="1767">
        <v>0</v>
      </c>
      <c r="BV289" s="1767">
        <v>0</v>
      </c>
      <c r="BW289" s="1767">
        <v>0</v>
      </c>
      <c r="BX289" s="1767">
        <v>0</v>
      </c>
      <c r="BY289" s="1767">
        <v>0</v>
      </c>
      <c r="BZ289" s="1767">
        <v>0</v>
      </c>
      <c r="CA289" s="1767">
        <v>0</v>
      </c>
      <c r="CB289" s="1767">
        <v>0</v>
      </c>
      <c r="CC289" s="1767">
        <v>0</v>
      </c>
      <c r="CD289" s="1767">
        <v>0</v>
      </c>
      <c r="CE289" s="1767">
        <v>0</v>
      </c>
      <c r="CF289" s="1767">
        <v>0</v>
      </c>
      <c r="CG289" s="1767">
        <v>0</v>
      </c>
      <c r="CH289" s="1767">
        <v>0</v>
      </c>
      <c r="CI289" s="1767">
        <v>0</v>
      </c>
      <c r="CJ289" s="1767">
        <v>0</v>
      </c>
      <c r="CK289" s="1767">
        <v>0</v>
      </c>
      <c r="CL289" s="1767">
        <v>0</v>
      </c>
      <c r="CM289" s="1767">
        <v>0</v>
      </c>
      <c r="CN289" s="1767">
        <v>0</v>
      </c>
      <c r="CO289" s="1767">
        <v>0</v>
      </c>
      <c r="CP289" s="1767">
        <v>0</v>
      </c>
    </row>
    <row r="290" spans="1:94" ht="15" customHeight="1" x14ac:dyDescent="0.2">
      <c r="A290" s="1858"/>
      <c r="B290" s="1856"/>
      <c r="C290" s="667" t="s">
        <v>2138</v>
      </c>
      <c r="D290" s="936"/>
      <c r="E290" s="1862"/>
      <c r="F290" s="1225"/>
      <c r="G290" s="1767">
        <v>0</v>
      </c>
      <c r="H290" s="1767">
        <v>0</v>
      </c>
      <c r="I290" s="1767">
        <v>0</v>
      </c>
      <c r="J290" s="1767">
        <v>0</v>
      </c>
      <c r="K290" s="1767">
        <v>0</v>
      </c>
      <c r="L290" s="1767">
        <v>0</v>
      </c>
      <c r="M290" s="1767">
        <v>0</v>
      </c>
      <c r="N290" s="1767">
        <v>0</v>
      </c>
      <c r="O290" s="1767">
        <v>0</v>
      </c>
      <c r="P290" s="1767">
        <v>0</v>
      </c>
      <c r="Q290" s="1767">
        <v>0</v>
      </c>
      <c r="R290" s="1767">
        <v>0</v>
      </c>
      <c r="S290" s="1767">
        <v>0</v>
      </c>
      <c r="T290" s="1767">
        <v>0</v>
      </c>
      <c r="U290" s="1767">
        <v>0</v>
      </c>
      <c r="V290" s="1767">
        <v>0</v>
      </c>
      <c r="W290" s="1767">
        <v>0</v>
      </c>
      <c r="X290" s="1767">
        <v>0</v>
      </c>
      <c r="Y290" s="1767">
        <v>0</v>
      </c>
      <c r="Z290" s="1767">
        <v>0</v>
      </c>
      <c r="AA290" s="1767">
        <v>0</v>
      </c>
      <c r="AB290" s="1767">
        <v>0</v>
      </c>
      <c r="AC290" s="1767">
        <v>0</v>
      </c>
      <c r="AD290" s="1767">
        <v>0</v>
      </c>
      <c r="AE290" s="1767">
        <v>0</v>
      </c>
      <c r="AF290" s="1767">
        <v>0</v>
      </c>
      <c r="AG290" s="1767">
        <v>0</v>
      </c>
      <c r="AH290" s="1767">
        <v>0</v>
      </c>
      <c r="AI290" s="1767">
        <v>0</v>
      </c>
      <c r="AJ290" s="1767">
        <v>0</v>
      </c>
      <c r="AK290" s="1767">
        <v>0</v>
      </c>
      <c r="AL290" s="1767">
        <v>0</v>
      </c>
      <c r="AM290" s="1767">
        <v>0</v>
      </c>
      <c r="AN290" s="1767">
        <v>0</v>
      </c>
      <c r="AO290" s="1767">
        <v>0</v>
      </c>
      <c r="AP290" s="1767">
        <v>0</v>
      </c>
      <c r="AQ290" s="1767">
        <v>0</v>
      </c>
      <c r="AR290" s="1767">
        <v>0</v>
      </c>
      <c r="AS290" s="1767">
        <v>0</v>
      </c>
      <c r="AT290" s="1767">
        <v>0</v>
      </c>
      <c r="AU290" s="1767">
        <v>0</v>
      </c>
      <c r="AV290" s="1767">
        <v>0</v>
      </c>
      <c r="AW290" s="1767">
        <v>0</v>
      </c>
      <c r="AX290" s="1767">
        <v>0</v>
      </c>
      <c r="AY290" s="1767">
        <v>0</v>
      </c>
      <c r="AZ290" s="1767">
        <v>0</v>
      </c>
      <c r="BA290" s="1767">
        <v>0</v>
      </c>
      <c r="BB290" s="1767">
        <v>0</v>
      </c>
      <c r="BC290" s="1767">
        <v>0</v>
      </c>
      <c r="BD290" s="1767">
        <v>0</v>
      </c>
      <c r="BE290" s="1767">
        <v>0</v>
      </c>
      <c r="BF290" s="1767">
        <v>0</v>
      </c>
      <c r="BG290" s="1767">
        <v>0</v>
      </c>
      <c r="BH290" s="1767">
        <v>0</v>
      </c>
      <c r="BI290" s="1767">
        <v>0</v>
      </c>
      <c r="BJ290" s="1767">
        <v>0</v>
      </c>
      <c r="BK290" s="1767">
        <v>0</v>
      </c>
      <c r="BL290" s="1767">
        <v>0</v>
      </c>
      <c r="BM290" s="1767">
        <v>0</v>
      </c>
      <c r="BN290" s="1767">
        <v>0</v>
      </c>
      <c r="BO290" s="1767">
        <v>0</v>
      </c>
      <c r="BP290" s="1767">
        <v>0</v>
      </c>
      <c r="BQ290" s="1767">
        <v>0</v>
      </c>
      <c r="BR290" s="1767">
        <v>0</v>
      </c>
      <c r="BS290" s="1767">
        <v>0</v>
      </c>
      <c r="BT290" s="1767">
        <v>0</v>
      </c>
      <c r="BU290" s="1767">
        <v>0</v>
      </c>
      <c r="BV290" s="1767">
        <v>0</v>
      </c>
      <c r="BW290" s="1767">
        <v>0</v>
      </c>
      <c r="BX290" s="1767">
        <v>0</v>
      </c>
      <c r="BY290" s="1767">
        <v>0</v>
      </c>
      <c r="BZ290" s="1767">
        <v>0</v>
      </c>
      <c r="CA290" s="1767">
        <v>0</v>
      </c>
      <c r="CB290" s="1767">
        <v>0</v>
      </c>
      <c r="CC290" s="1767">
        <v>0</v>
      </c>
      <c r="CD290" s="1767">
        <v>0</v>
      </c>
      <c r="CE290" s="1767">
        <v>0</v>
      </c>
      <c r="CF290" s="1767">
        <v>0</v>
      </c>
      <c r="CG290" s="1767">
        <v>0</v>
      </c>
      <c r="CH290" s="1767">
        <v>0</v>
      </c>
      <c r="CI290" s="1767">
        <v>0</v>
      </c>
      <c r="CJ290" s="1767">
        <v>0</v>
      </c>
      <c r="CK290" s="1767">
        <v>0</v>
      </c>
      <c r="CL290" s="1767">
        <v>0</v>
      </c>
      <c r="CM290" s="1767">
        <v>0</v>
      </c>
      <c r="CN290" s="1767">
        <v>0</v>
      </c>
      <c r="CO290" s="1767">
        <v>0</v>
      </c>
      <c r="CP290" s="1767">
        <v>0</v>
      </c>
    </row>
    <row r="291" spans="1:94" ht="15" customHeight="1" x14ac:dyDescent="0.2">
      <c r="A291" s="1858"/>
      <c r="B291" s="1856"/>
      <c r="C291" s="667" t="s">
        <v>2139</v>
      </c>
      <c r="D291" s="936"/>
      <c r="E291" s="1862"/>
      <c r="F291" s="1225"/>
      <c r="G291" s="1767">
        <v>0</v>
      </c>
      <c r="H291" s="1767">
        <v>0</v>
      </c>
      <c r="I291" s="1767">
        <v>0</v>
      </c>
      <c r="J291" s="1767">
        <v>0</v>
      </c>
      <c r="K291" s="1767">
        <v>0</v>
      </c>
      <c r="L291" s="1767">
        <v>0</v>
      </c>
      <c r="M291" s="1767">
        <v>0</v>
      </c>
      <c r="N291" s="1767">
        <v>0</v>
      </c>
      <c r="O291" s="1767">
        <v>0</v>
      </c>
      <c r="P291" s="1767">
        <v>0</v>
      </c>
      <c r="Q291" s="1767">
        <v>0</v>
      </c>
      <c r="R291" s="1767">
        <v>0</v>
      </c>
      <c r="S291" s="1767">
        <v>0</v>
      </c>
      <c r="T291" s="1767">
        <v>0</v>
      </c>
      <c r="U291" s="1767">
        <v>0</v>
      </c>
      <c r="V291" s="1767">
        <v>0</v>
      </c>
      <c r="W291" s="1767">
        <v>0</v>
      </c>
      <c r="X291" s="1767">
        <v>0</v>
      </c>
      <c r="Y291" s="1767">
        <v>0</v>
      </c>
      <c r="Z291" s="1767">
        <v>0</v>
      </c>
      <c r="AA291" s="1767">
        <v>0</v>
      </c>
      <c r="AB291" s="1767">
        <v>0</v>
      </c>
      <c r="AC291" s="1767">
        <v>0</v>
      </c>
      <c r="AD291" s="1767">
        <v>0</v>
      </c>
      <c r="AE291" s="1767">
        <v>0</v>
      </c>
      <c r="AF291" s="1767">
        <v>0</v>
      </c>
      <c r="AG291" s="1767">
        <v>0</v>
      </c>
      <c r="AH291" s="1767">
        <v>0</v>
      </c>
      <c r="AI291" s="1767">
        <v>0</v>
      </c>
      <c r="AJ291" s="1767">
        <v>0</v>
      </c>
      <c r="AK291" s="1767">
        <v>0</v>
      </c>
      <c r="AL291" s="1767">
        <v>0</v>
      </c>
      <c r="AM291" s="1767">
        <v>0</v>
      </c>
      <c r="AN291" s="1767">
        <v>0</v>
      </c>
      <c r="AO291" s="1767">
        <v>0</v>
      </c>
      <c r="AP291" s="1767">
        <v>0</v>
      </c>
      <c r="AQ291" s="1767">
        <v>0</v>
      </c>
      <c r="AR291" s="1767">
        <v>0</v>
      </c>
      <c r="AS291" s="1767">
        <v>0</v>
      </c>
      <c r="AT291" s="1767">
        <v>0</v>
      </c>
      <c r="AU291" s="1767">
        <v>0</v>
      </c>
      <c r="AV291" s="1767">
        <v>0</v>
      </c>
      <c r="AW291" s="1767">
        <v>0</v>
      </c>
      <c r="AX291" s="1767">
        <v>0</v>
      </c>
      <c r="AY291" s="1767">
        <v>0</v>
      </c>
      <c r="AZ291" s="1767">
        <v>0</v>
      </c>
      <c r="BA291" s="1767">
        <v>0</v>
      </c>
      <c r="BB291" s="1767">
        <v>0</v>
      </c>
      <c r="BC291" s="1767">
        <v>0</v>
      </c>
      <c r="BD291" s="1767">
        <v>0</v>
      </c>
      <c r="BE291" s="1767">
        <v>0</v>
      </c>
      <c r="BF291" s="1767">
        <v>0</v>
      </c>
      <c r="BG291" s="1767">
        <v>0</v>
      </c>
      <c r="BH291" s="1767">
        <v>0</v>
      </c>
      <c r="BI291" s="1767">
        <v>0</v>
      </c>
      <c r="BJ291" s="1767">
        <v>0</v>
      </c>
      <c r="BK291" s="1767">
        <v>0</v>
      </c>
      <c r="BL291" s="1767">
        <v>0</v>
      </c>
      <c r="BM291" s="1767">
        <v>0</v>
      </c>
      <c r="BN291" s="1767">
        <v>0</v>
      </c>
      <c r="BO291" s="1767">
        <v>0</v>
      </c>
      <c r="BP291" s="1767">
        <v>0</v>
      </c>
      <c r="BQ291" s="1767">
        <v>0</v>
      </c>
      <c r="BR291" s="1767">
        <v>0</v>
      </c>
      <c r="BS291" s="1767">
        <v>0</v>
      </c>
      <c r="BT291" s="1767">
        <v>0</v>
      </c>
      <c r="BU291" s="1767">
        <v>0</v>
      </c>
      <c r="BV291" s="1767">
        <v>0</v>
      </c>
      <c r="BW291" s="1767">
        <v>0</v>
      </c>
      <c r="BX291" s="1767">
        <v>0</v>
      </c>
      <c r="BY291" s="1767">
        <v>0</v>
      </c>
      <c r="BZ291" s="1767">
        <v>0</v>
      </c>
      <c r="CA291" s="1767">
        <v>0</v>
      </c>
      <c r="CB291" s="1767">
        <v>0</v>
      </c>
      <c r="CC291" s="1767">
        <v>0</v>
      </c>
      <c r="CD291" s="1767">
        <v>0</v>
      </c>
      <c r="CE291" s="1767">
        <v>0</v>
      </c>
      <c r="CF291" s="1767">
        <v>0</v>
      </c>
      <c r="CG291" s="1767">
        <v>0</v>
      </c>
      <c r="CH291" s="1767">
        <v>0</v>
      </c>
      <c r="CI291" s="1767">
        <v>0</v>
      </c>
      <c r="CJ291" s="1767">
        <v>0</v>
      </c>
      <c r="CK291" s="1767">
        <v>0</v>
      </c>
      <c r="CL291" s="1767">
        <v>0</v>
      </c>
      <c r="CM291" s="1767">
        <v>0</v>
      </c>
      <c r="CN291" s="1767">
        <v>0</v>
      </c>
      <c r="CO291" s="1767">
        <v>0</v>
      </c>
      <c r="CP291" s="1767">
        <v>0</v>
      </c>
    </row>
    <row r="292" spans="1:94" ht="15" customHeight="1" x14ac:dyDescent="0.2">
      <c r="A292" s="1858"/>
      <c r="B292" s="1856"/>
      <c r="C292" s="852" t="s">
        <v>2140</v>
      </c>
      <c r="D292" s="936"/>
      <c r="E292" s="1862"/>
      <c r="F292" s="1225"/>
      <c r="G292" s="1767">
        <v>0</v>
      </c>
      <c r="H292" s="1767">
        <v>0</v>
      </c>
      <c r="I292" s="1767">
        <v>0</v>
      </c>
      <c r="J292" s="1767">
        <v>0</v>
      </c>
      <c r="K292" s="1767">
        <v>0</v>
      </c>
      <c r="L292" s="1767">
        <v>0</v>
      </c>
      <c r="M292" s="1767">
        <v>0</v>
      </c>
      <c r="N292" s="1767">
        <v>0</v>
      </c>
      <c r="O292" s="1767">
        <v>0</v>
      </c>
      <c r="P292" s="1767">
        <v>0</v>
      </c>
      <c r="Q292" s="1767">
        <v>0</v>
      </c>
      <c r="R292" s="1767">
        <v>0</v>
      </c>
      <c r="S292" s="1767">
        <v>0</v>
      </c>
      <c r="T292" s="1767">
        <v>0</v>
      </c>
      <c r="U292" s="1767">
        <v>0</v>
      </c>
      <c r="V292" s="1767">
        <v>0</v>
      </c>
      <c r="W292" s="1767">
        <v>0</v>
      </c>
      <c r="X292" s="1767">
        <v>0</v>
      </c>
      <c r="Y292" s="1767">
        <v>0</v>
      </c>
      <c r="Z292" s="1767">
        <v>0</v>
      </c>
      <c r="AA292" s="1767">
        <v>0</v>
      </c>
      <c r="AB292" s="1767">
        <v>0</v>
      </c>
      <c r="AC292" s="1767">
        <v>0</v>
      </c>
      <c r="AD292" s="1767">
        <v>0</v>
      </c>
      <c r="AE292" s="1767">
        <v>0</v>
      </c>
      <c r="AF292" s="1767">
        <v>0</v>
      </c>
      <c r="AG292" s="1767">
        <v>0</v>
      </c>
      <c r="AH292" s="1767">
        <v>0</v>
      </c>
      <c r="AI292" s="1767">
        <v>0</v>
      </c>
      <c r="AJ292" s="1767">
        <v>0</v>
      </c>
      <c r="AK292" s="1767">
        <v>0</v>
      </c>
      <c r="AL292" s="1767">
        <v>0</v>
      </c>
      <c r="AM292" s="1767">
        <v>0</v>
      </c>
      <c r="AN292" s="1767">
        <v>0</v>
      </c>
      <c r="AO292" s="1767">
        <v>0</v>
      </c>
      <c r="AP292" s="1767">
        <v>0</v>
      </c>
      <c r="AQ292" s="1767">
        <v>0</v>
      </c>
      <c r="AR292" s="1767">
        <v>0</v>
      </c>
      <c r="AS292" s="1767">
        <v>0</v>
      </c>
      <c r="AT292" s="1767">
        <v>0</v>
      </c>
      <c r="AU292" s="1767">
        <v>0</v>
      </c>
      <c r="AV292" s="1767">
        <v>0</v>
      </c>
      <c r="AW292" s="1767">
        <v>0</v>
      </c>
      <c r="AX292" s="1767">
        <v>0</v>
      </c>
      <c r="AY292" s="1767">
        <v>0</v>
      </c>
      <c r="AZ292" s="1767">
        <v>0</v>
      </c>
      <c r="BA292" s="1767">
        <v>0</v>
      </c>
      <c r="BB292" s="1767">
        <v>0</v>
      </c>
      <c r="BC292" s="1767">
        <v>0</v>
      </c>
      <c r="BD292" s="1767">
        <v>0</v>
      </c>
      <c r="BE292" s="1767">
        <v>0</v>
      </c>
      <c r="BF292" s="1767">
        <v>0</v>
      </c>
      <c r="BG292" s="1767">
        <v>0</v>
      </c>
      <c r="BH292" s="1767">
        <v>0</v>
      </c>
      <c r="BI292" s="1767">
        <v>0</v>
      </c>
      <c r="BJ292" s="1767">
        <v>0</v>
      </c>
      <c r="BK292" s="1767">
        <v>0</v>
      </c>
      <c r="BL292" s="1767">
        <v>0</v>
      </c>
      <c r="BM292" s="1767">
        <v>0</v>
      </c>
      <c r="BN292" s="1767">
        <v>0</v>
      </c>
      <c r="BO292" s="1767">
        <v>0</v>
      </c>
      <c r="BP292" s="1767">
        <v>0</v>
      </c>
      <c r="BQ292" s="1767">
        <v>0</v>
      </c>
      <c r="BR292" s="1767">
        <v>0</v>
      </c>
      <c r="BS292" s="1767">
        <v>0</v>
      </c>
      <c r="BT292" s="1767">
        <v>0</v>
      </c>
      <c r="BU292" s="1767">
        <v>0</v>
      </c>
      <c r="BV292" s="1767">
        <v>0</v>
      </c>
      <c r="BW292" s="1767">
        <v>0</v>
      </c>
      <c r="BX292" s="1767">
        <v>0</v>
      </c>
      <c r="BY292" s="1767">
        <v>0</v>
      </c>
      <c r="BZ292" s="1767">
        <v>0</v>
      </c>
      <c r="CA292" s="1767">
        <v>0</v>
      </c>
      <c r="CB292" s="1767">
        <v>0</v>
      </c>
      <c r="CC292" s="1767">
        <v>0</v>
      </c>
      <c r="CD292" s="1767">
        <v>0</v>
      </c>
      <c r="CE292" s="1767">
        <v>0</v>
      </c>
      <c r="CF292" s="1767">
        <v>0</v>
      </c>
      <c r="CG292" s="1767">
        <v>0</v>
      </c>
      <c r="CH292" s="1767">
        <v>0</v>
      </c>
      <c r="CI292" s="1767">
        <v>0</v>
      </c>
      <c r="CJ292" s="1767">
        <v>0</v>
      </c>
      <c r="CK292" s="1767">
        <v>0</v>
      </c>
      <c r="CL292" s="1767">
        <v>0</v>
      </c>
      <c r="CM292" s="1767">
        <v>0</v>
      </c>
      <c r="CN292" s="1767">
        <v>0</v>
      </c>
      <c r="CO292" s="1767">
        <v>0</v>
      </c>
      <c r="CP292" s="1767">
        <v>0</v>
      </c>
    </row>
    <row r="293" spans="1:94" ht="15" customHeight="1" x14ac:dyDescent="0.2">
      <c r="A293" s="1858"/>
      <c r="B293" s="1856"/>
      <c r="C293" s="800" t="s">
        <v>2339</v>
      </c>
      <c r="D293" s="936"/>
      <c r="E293" s="1862"/>
      <c r="F293" s="1225"/>
      <c r="G293" s="1767">
        <v>0</v>
      </c>
      <c r="H293" s="1767">
        <v>0</v>
      </c>
      <c r="I293" s="1767">
        <v>0</v>
      </c>
      <c r="J293" s="1767">
        <v>0</v>
      </c>
      <c r="K293" s="1767">
        <v>0</v>
      </c>
      <c r="L293" s="1767">
        <v>0</v>
      </c>
      <c r="M293" s="1767">
        <v>0</v>
      </c>
      <c r="N293" s="1767">
        <v>0</v>
      </c>
      <c r="O293" s="1767">
        <v>0</v>
      </c>
      <c r="P293" s="1767">
        <v>0</v>
      </c>
      <c r="Q293" s="1767">
        <v>0</v>
      </c>
      <c r="R293" s="1767">
        <v>0</v>
      </c>
      <c r="S293" s="1767">
        <v>0</v>
      </c>
      <c r="T293" s="1767">
        <v>0</v>
      </c>
      <c r="U293" s="1767">
        <v>0</v>
      </c>
      <c r="V293" s="1767">
        <v>0</v>
      </c>
      <c r="W293" s="1767">
        <v>0</v>
      </c>
      <c r="X293" s="1767">
        <v>0</v>
      </c>
      <c r="Y293" s="1767">
        <v>0</v>
      </c>
      <c r="Z293" s="1767">
        <v>0</v>
      </c>
      <c r="AA293" s="1767">
        <v>0</v>
      </c>
      <c r="AB293" s="1767">
        <v>0</v>
      </c>
      <c r="AC293" s="1767">
        <v>0</v>
      </c>
      <c r="AD293" s="1767">
        <v>0</v>
      </c>
      <c r="AE293" s="1767">
        <v>0</v>
      </c>
      <c r="AF293" s="1767">
        <v>0</v>
      </c>
      <c r="AG293" s="1767">
        <v>0</v>
      </c>
      <c r="AH293" s="1767">
        <v>0</v>
      </c>
      <c r="AI293" s="1767">
        <v>0</v>
      </c>
      <c r="AJ293" s="1767">
        <v>0</v>
      </c>
      <c r="AK293" s="1767">
        <v>0</v>
      </c>
      <c r="AL293" s="1767">
        <v>0</v>
      </c>
      <c r="AM293" s="1767">
        <v>0</v>
      </c>
      <c r="AN293" s="1767">
        <v>0</v>
      </c>
      <c r="AO293" s="1767">
        <v>0</v>
      </c>
      <c r="AP293" s="1767">
        <v>0</v>
      </c>
      <c r="AQ293" s="1767">
        <v>0</v>
      </c>
      <c r="AR293" s="1767">
        <v>0</v>
      </c>
      <c r="AS293" s="1767">
        <v>0</v>
      </c>
      <c r="AT293" s="1767">
        <v>0</v>
      </c>
      <c r="AU293" s="1767">
        <v>0</v>
      </c>
      <c r="AV293" s="1767">
        <v>0</v>
      </c>
      <c r="AW293" s="1767">
        <v>0</v>
      </c>
      <c r="AX293" s="1767">
        <v>0</v>
      </c>
      <c r="AY293" s="1767">
        <v>0</v>
      </c>
      <c r="AZ293" s="1767">
        <v>0</v>
      </c>
      <c r="BA293" s="1767">
        <v>0</v>
      </c>
      <c r="BB293" s="1767">
        <v>0</v>
      </c>
      <c r="BC293" s="1767">
        <v>0</v>
      </c>
      <c r="BD293" s="1767">
        <v>0</v>
      </c>
      <c r="BE293" s="1767">
        <v>0</v>
      </c>
      <c r="BF293" s="1767">
        <v>0</v>
      </c>
      <c r="BG293" s="1767">
        <v>0</v>
      </c>
      <c r="BH293" s="1767">
        <v>0</v>
      </c>
      <c r="BI293" s="1767">
        <v>0</v>
      </c>
      <c r="BJ293" s="1767">
        <v>0</v>
      </c>
      <c r="BK293" s="1767">
        <v>0</v>
      </c>
      <c r="BL293" s="1767">
        <v>0</v>
      </c>
      <c r="BM293" s="1767">
        <v>0</v>
      </c>
      <c r="BN293" s="1767">
        <v>0</v>
      </c>
      <c r="BO293" s="1767">
        <v>0</v>
      </c>
      <c r="BP293" s="1767">
        <v>0</v>
      </c>
      <c r="BQ293" s="1767">
        <v>0</v>
      </c>
      <c r="BR293" s="1767">
        <v>0</v>
      </c>
      <c r="BS293" s="1767">
        <v>0</v>
      </c>
      <c r="BT293" s="1767">
        <v>0</v>
      </c>
      <c r="BU293" s="1767">
        <v>0</v>
      </c>
      <c r="BV293" s="1767">
        <v>0</v>
      </c>
      <c r="BW293" s="1767">
        <v>0</v>
      </c>
      <c r="BX293" s="1767">
        <v>0</v>
      </c>
      <c r="BY293" s="1767">
        <v>0</v>
      </c>
      <c r="BZ293" s="1767">
        <v>0</v>
      </c>
      <c r="CA293" s="1767">
        <v>0</v>
      </c>
      <c r="CB293" s="1767">
        <v>0</v>
      </c>
      <c r="CC293" s="1767">
        <v>0</v>
      </c>
      <c r="CD293" s="1767">
        <v>0</v>
      </c>
      <c r="CE293" s="1767">
        <v>0</v>
      </c>
      <c r="CF293" s="1767">
        <v>0</v>
      </c>
      <c r="CG293" s="1767">
        <v>0</v>
      </c>
      <c r="CH293" s="1767">
        <v>0</v>
      </c>
      <c r="CI293" s="1767">
        <v>0</v>
      </c>
      <c r="CJ293" s="1767">
        <v>0</v>
      </c>
      <c r="CK293" s="1767">
        <v>0</v>
      </c>
      <c r="CL293" s="1767">
        <v>0</v>
      </c>
      <c r="CM293" s="1767">
        <v>0</v>
      </c>
      <c r="CN293" s="1767">
        <v>0</v>
      </c>
      <c r="CO293" s="1767">
        <v>0</v>
      </c>
      <c r="CP293" s="1767">
        <v>0</v>
      </c>
    </row>
    <row r="294" spans="1:94" ht="15" customHeight="1" thickBot="1" x14ac:dyDescent="0.25">
      <c r="A294" s="1858"/>
      <c r="B294" s="1856"/>
      <c r="C294" s="800" t="s">
        <v>2340</v>
      </c>
      <c r="D294" s="949"/>
      <c r="E294" s="1862"/>
      <c r="F294" s="1225"/>
      <c r="G294" s="1767">
        <v>0</v>
      </c>
      <c r="H294" s="1767">
        <v>0</v>
      </c>
      <c r="I294" s="1767">
        <v>0</v>
      </c>
      <c r="J294" s="1767">
        <v>0</v>
      </c>
      <c r="K294" s="1767">
        <v>0</v>
      </c>
      <c r="L294" s="1767">
        <v>0</v>
      </c>
      <c r="M294" s="1767">
        <v>0</v>
      </c>
      <c r="N294" s="1767">
        <v>0</v>
      </c>
      <c r="O294" s="1767">
        <v>0</v>
      </c>
      <c r="P294" s="1767">
        <v>0</v>
      </c>
      <c r="Q294" s="1767">
        <v>0</v>
      </c>
      <c r="R294" s="1767">
        <v>0</v>
      </c>
      <c r="S294" s="1767">
        <v>0</v>
      </c>
      <c r="T294" s="1767">
        <v>0</v>
      </c>
      <c r="U294" s="1767">
        <v>0</v>
      </c>
      <c r="V294" s="1767">
        <v>0</v>
      </c>
      <c r="W294" s="1767">
        <v>0</v>
      </c>
      <c r="X294" s="1767">
        <v>0</v>
      </c>
      <c r="Y294" s="1767">
        <v>0</v>
      </c>
      <c r="Z294" s="1767">
        <v>0</v>
      </c>
      <c r="AA294" s="1767">
        <v>0</v>
      </c>
      <c r="AB294" s="1767">
        <v>0</v>
      </c>
      <c r="AC294" s="1767">
        <v>0</v>
      </c>
      <c r="AD294" s="1767">
        <v>0</v>
      </c>
      <c r="AE294" s="1767">
        <v>0</v>
      </c>
      <c r="AF294" s="1767">
        <v>0</v>
      </c>
      <c r="AG294" s="1767">
        <v>0</v>
      </c>
      <c r="AH294" s="1767">
        <v>0</v>
      </c>
      <c r="AI294" s="1767">
        <v>0</v>
      </c>
      <c r="AJ294" s="1767">
        <v>0</v>
      </c>
      <c r="AK294" s="1767">
        <v>0</v>
      </c>
      <c r="AL294" s="1767">
        <v>0</v>
      </c>
      <c r="AM294" s="1767">
        <v>0</v>
      </c>
      <c r="AN294" s="1767">
        <v>0</v>
      </c>
      <c r="AO294" s="1767">
        <v>0</v>
      </c>
      <c r="AP294" s="1767">
        <v>0</v>
      </c>
      <c r="AQ294" s="1767">
        <v>0</v>
      </c>
      <c r="AR294" s="1767">
        <v>0</v>
      </c>
      <c r="AS294" s="1767">
        <v>0</v>
      </c>
      <c r="AT294" s="1767">
        <v>0</v>
      </c>
      <c r="AU294" s="1767">
        <v>0</v>
      </c>
      <c r="AV294" s="1767">
        <v>0</v>
      </c>
      <c r="AW294" s="1767">
        <v>0</v>
      </c>
      <c r="AX294" s="1767">
        <v>0</v>
      </c>
      <c r="AY294" s="1767">
        <v>0</v>
      </c>
      <c r="AZ294" s="1767">
        <v>0</v>
      </c>
      <c r="BA294" s="1767">
        <v>0</v>
      </c>
      <c r="BB294" s="1767">
        <v>0</v>
      </c>
      <c r="BC294" s="1767">
        <v>0</v>
      </c>
      <c r="BD294" s="1767">
        <v>0</v>
      </c>
      <c r="BE294" s="1767">
        <v>0</v>
      </c>
      <c r="BF294" s="1767">
        <v>0</v>
      </c>
      <c r="BG294" s="1767">
        <v>0</v>
      </c>
      <c r="BH294" s="1767">
        <v>0</v>
      </c>
      <c r="BI294" s="1767">
        <v>0</v>
      </c>
      <c r="BJ294" s="1767">
        <v>0</v>
      </c>
      <c r="BK294" s="1767">
        <v>0</v>
      </c>
      <c r="BL294" s="1767">
        <v>0</v>
      </c>
      <c r="BM294" s="1767">
        <v>0</v>
      </c>
      <c r="BN294" s="1767">
        <v>0</v>
      </c>
      <c r="BO294" s="1767">
        <v>0</v>
      </c>
      <c r="BP294" s="1767">
        <v>0</v>
      </c>
      <c r="BQ294" s="1767">
        <v>0</v>
      </c>
      <c r="BR294" s="1767">
        <v>0</v>
      </c>
      <c r="BS294" s="1767">
        <v>0</v>
      </c>
      <c r="BT294" s="1767">
        <v>0</v>
      </c>
      <c r="BU294" s="1767">
        <v>0</v>
      </c>
      <c r="BV294" s="1767">
        <v>0</v>
      </c>
      <c r="BW294" s="1767">
        <v>0</v>
      </c>
      <c r="BX294" s="1767">
        <v>0</v>
      </c>
      <c r="BY294" s="1767">
        <v>0</v>
      </c>
      <c r="BZ294" s="1767">
        <v>0</v>
      </c>
      <c r="CA294" s="1767">
        <v>0</v>
      </c>
      <c r="CB294" s="1767">
        <v>0</v>
      </c>
      <c r="CC294" s="1767">
        <v>0</v>
      </c>
      <c r="CD294" s="1767">
        <v>0</v>
      </c>
      <c r="CE294" s="1767">
        <v>0</v>
      </c>
      <c r="CF294" s="1767">
        <v>0</v>
      </c>
      <c r="CG294" s="1767">
        <v>0</v>
      </c>
      <c r="CH294" s="1767">
        <v>0</v>
      </c>
      <c r="CI294" s="1767">
        <v>0</v>
      </c>
      <c r="CJ294" s="1767">
        <v>0</v>
      </c>
      <c r="CK294" s="1767">
        <v>0</v>
      </c>
      <c r="CL294" s="1767">
        <v>0</v>
      </c>
      <c r="CM294" s="1767">
        <v>0</v>
      </c>
      <c r="CN294" s="1767">
        <v>0</v>
      </c>
      <c r="CO294" s="1767">
        <v>0</v>
      </c>
      <c r="CP294" s="1767">
        <v>0</v>
      </c>
    </row>
    <row r="295" spans="1:94" ht="54" customHeight="1" thickBot="1" x14ac:dyDescent="0.25">
      <c r="A295" s="1887" t="s">
        <v>243</v>
      </c>
      <c r="B295" s="1846" t="s">
        <v>562</v>
      </c>
      <c r="C295" s="1789" t="s">
        <v>1726</v>
      </c>
      <c r="D295" s="974"/>
      <c r="E295" s="1830" t="s">
        <v>2063</v>
      </c>
      <c r="F295" s="1225"/>
      <c r="G295" s="1742"/>
      <c r="H295" s="1742"/>
      <c r="I295" s="1742"/>
      <c r="J295" s="1742"/>
      <c r="K295" s="1742"/>
      <c r="L295" s="1742"/>
      <c r="M295" s="1742"/>
      <c r="N295" s="1742"/>
      <c r="O295" s="1742"/>
      <c r="P295" s="1742"/>
      <c r="Q295" s="1742"/>
      <c r="R295" s="1742"/>
      <c r="S295" s="1742"/>
      <c r="T295" s="1742"/>
      <c r="U295" s="1742"/>
      <c r="V295" s="1742"/>
      <c r="W295" s="1742"/>
      <c r="X295" s="1742"/>
      <c r="Y295" s="1742"/>
      <c r="Z295" s="1742"/>
      <c r="AA295" s="1742"/>
      <c r="AB295" s="1742"/>
      <c r="AC295" s="1742"/>
      <c r="AD295" s="1742"/>
      <c r="AE295" s="1742"/>
      <c r="AF295" s="1742"/>
      <c r="AG295" s="1742"/>
      <c r="AH295" s="1742"/>
      <c r="AI295" s="1742"/>
      <c r="AJ295" s="1742"/>
      <c r="AK295" s="1742"/>
      <c r="AL295" s="1742"/>
      <c r="AM295" s="1742"/>
      <c r="AN295" s="1742"/>
      <c r="AO295" s="1742"/>
      <c r="AP295" s="1742"/>
      <c r="AQ295" s="1742"/>
      <c r="AR295" s="1742"/>
      <c r="AS295" s="1742"/>
      <c r="AT295" s="1742"/>
      <c r="AU295" s="1742"/>
      <c r="AV295" s="1742"/>
      <c r="AW295" s="1742"/>
      <c r="AX295" s="1742"/>
      <c r="AY295" s="1742"/>
      <c r="AZ295" s="1742"/>
      <c r="BA295" s="1742"/>
      <c r="BB295" s="1742"/>
      <c r="BC295" s="1742"/>
      <c r="BD295" s="1742"/>
      <c r="BE295" s="1742"/>
      <c r="BF295" s="1742"/>
      <c r="BG295" s="1742"/>
      <c r="BH295" s="1742"/>
      <c r="BI295" s="1742"/>
      <c r="BJ295" s="1742"/>
      <c r="BK295" s="1742"/>
      <c r="BL295" s="1742"/>
      <c r="BM295" s="1742"/>
      <c r="BN295" s="1742"/>
      <c r="BO295" s="1742"/>
      <c r="BP295" s="1742"/>
      <c r="BQ295" s="1742"/>
      <c r="BR295" s="1742"/>
      <c r="BS295" s="1742"/>
      <c r="BT295" s="1742"/>
      <c r="BU295" s="1742"/>
      <c r="BV295" s="1742"/>
      <c r="BW295" s="1742"/>
      <c r="BX295" s="1742"/>
      <c r="BY295" s="1742"/>
      <c r="BZ295" s="1742"/>
      <c r="CA295" s="1742"/>
      <c r="CB295" s="1742"/>
      <c r="CC295" s="1742"/>
      <c r="CD295" s="1742"/>
      <c r="CE295" s="1742"/>
      <c r="CF295" s="1742"/>
      <c r="CG295" s="1742"/>
      <c r="CH295" s="1742"/>
      <c r="CI295" s="1742"/>
      <c r="CJ295" s="1742"/>
      <c r="CK295" s="1742"/>
      <c r="CL295" s="1742"/>
      <c r="CM295" s="1742"/>
      <c r="CN295" s="1742"/>
      <c r="CO295" s="1742"/>
      <c r="CP295" s="1742"/>
    </row>
    <row r="296" spans="1:94" ht="15" customHeight="1" x14ac:dyDescent="0.2">
      <c r="A296" s="1847"/>
      <c r="B296" s="1856"/>
      <c r="C296" s="660" t="s">
        <v>2368</v>
      </c>
      <c r="D296" s="936"/>
      <c r="E296" s="1862"/>
      <c r="F296" s="1225"/>
      <c r="G296" s="1767">
        <v>0</v>
      </c>
      <c r="H296" s="1767">
        <v>0</v>
      </c>
      <c r="I296" s="1767">
        <v>0</v>
      </c>
      <c r="J296" s="1767">
        <v>0</v>
      </c>
      <c r="K296" s="1767">
        <v>0</v>
      </c>
      <c r="L296" s="1767">
        <v>0</v>
      </c>
      <c r="M296" s="1767">
        <v>0</v>
      </c>
      <c r="N296" s="1767">
        <v>0</v>
      </c>
      <c r="O296" s="1767">
        <v>0</v>
      </c>
      <c r="P296" s="1767">
        <v>0</v>
      </c>
      <c r="Q296" s="1767">
        <v>0</v>
      </c>
      <c r="R296" s="1767">
        <v>0</v>
      </c>
      <c r="S296" s="1767">
        <v>0</v>
      </c>
      <c r="T296" s="1767">
        <v>0</v>
      </c>
      <c r="U296" s="1767">
        <v>0</v>
      </c>
      <c r="V296" s="1767">
        <v>0</v>
      </c>
      <c r="W296" s="1767">
        <v>0</v>
      </c>
      <c r="X296" s="1767">
        <v>0</v>
      </c>
      <c r="Y296" s="1767">
        <v>0</v>
      </c>
      <c r="Z296" s="1767">
        <v>0</v>
      </c>
      <c r="AA296" s="1767">
        <v>0</v>
      </c>
      <c r="AB296" s="1767">
        <v>0</v>
      </c>
      <c r="AC296" s="1767">
        <v>0</v>
      </c>
      <c r="AD296" s="1767">
        <v>0</v>
      </c>
      <c r="AE296" s="1767">
        <v>0</v>
      </c>
      <c r="AF296" s="1767">
        <v>0</v>
      </c>
      <c r="AG296" s="1767">
        <v>0</v>
      </c>
      <c r="AH296" s="1767">
        <v>0</v>
      </c>
      <c r="AI296" s="1767">
        <v>0</v>
      </c>
      <c r="AJ296" s="1767">
        <v>0</v>
      </c>
      <c r="AK296" s="1767">
        <v>0</v>
      </c>
      <c r="AL296" s="1767">
        <v>0</v>
      </c>
      <c r="AM296" s="1767">
        <v>0</v>
      </c>
      <c r="AN296" s="1767">
        <v>0</v>
      </c>
      <c r="AO296" s="1767">
        <v>0</v>
      </c>
      <c r="AP296" s="1767">
        <v>0</v>
      </c>
      <c r="AQ296" s="1767">
        <v>0</v>
      </c>
      <c r="AR296" s="1767">
        <v>0</v>
      </c>
      <c r="AS296" s="1767">
        <v>0</v>
      </c>
      <c r="AT296" s="1767">
        <v>0</v>
      </c>
      <c r="AU296" s="1767">
        <v>0</v>
      </c>
      <c r="AV296" s="1767">
        <v>0</v>
      </c>
      <c r="AW296" s="1767">
        <v>0</v>
      </c>
      <c r="AX296" s="1767">
        <v>0</v>
      </c>
      <c r="AY296" s="1767">
        <v>0</v>
      </c>
      <c r="AZ296" s="1767">
        <v>0</v>
      </c>
      <c r="BA296" s="1767">
        <v>0</v>
      </c>
      <c r="BB296" s="1767">
        <v>0</v>
      </c>
      <c r="BC296" s="1767">
        <v>0</v>
      </c>
      <c r="BD296" s="1767">
        <v>0</v>
      </c>
      <c r="BE296" s="1767">
        <v>0</v>
      </c>
      <c r="BF296" s="1767">
        <v>0</v>
      </c>
      <c r="BG296" s="1767">
        <v>0</v>
      </c>
      <c r="BH296" s="1767">
        <v>0</v>
      </c>
      <c r="BI296" s="1767">
        <v>0</v>
      </c>
      <c r="BJ296" s="1767">
        <v>0</v>
      </c>
      <c r="BK296" s="1767">
        <v>0</v>
      </c>
      <c r="BL296" s="1767">
        <v>0</v>
      </c>
      <c r="BM296" s="1767">
        <v>0</v>
      </c>
      <c r="BN296" s="1767">
        <v>0</v>
      </c>
      <c r="BO296" s="1767">
        <v>0</v>
      </c>
      <c r="BP296" s="1767">
        <v>0</v>
      </c>
      <c r="BQ296" s="1767">
        <v>0</v>
      </c>
      <c r="BR296" s="1767">
        <v>0</v>
      </c>
      <c r="BS296" s="1767">
        <v>0</v>
      </c>
      <c r="BT296" s="1767">
        <v>0</v>
      </c>
      <c r="BU296" s="1767">
        <v>0</v>
      </c>
      <c r="BV296" s="1767">
        <v>0</v>
      </c>
      <c r="BW296" s="1767">
        <v>0</v>
      </c>
      <c r="BX296" s="1767">
        <v>0</v>
      </c>
      <c r="BY296" s="1767">
        <v>0</v>
      </c>
      <c r="BZ296" s="1767">
        <v>0</v>
      </c>
      <c r="CA296" s="1767">
        <v>0</v>
      </c>
      <c r="CB296" s="1767">
        <v>0</v>
      </c>
      <c r="CC296" s="1767">
        <v>0</v>
      </c>
      <c r="CD296" s="1767">
        <v>0</v>
      </c>
      <c r="CE296" s="1767">
        <v>0</v>
      </c>
      <c r="CF296" s="1767">
        <v>0</v>
      </c>
      <c r="CG296" s="1767">
        <v>0</v>
      </c>
      <c r="CH296" s="1767">
        <v>0</v>
      </c>
      <c r="CI296" s="1767">
        <v>0</v>
      </c>
      <c r="CJ296" s="1767">
        <v>0</v>
      </c>
      <c r="CK296" s="1767">
        <v>0</v>
      </c>
      <c r="CL296" s="1767">
        <v>0</v>
      </c>
      <c r="CM296" s="1767">
        <v>0</v>
      </c>
      <c r="CN296" s="1767">
        <v>0</v>
      </c>
      <c r="CO296" s="1767">
        <v>0</v>
      </c>
      <c r="CP296" s="1767">
        <v>0</v>
      </c>
    </row>
    <row r="297" spans="1:94" ht="15" customHeight="1" x14ac:dyDescent="0.2">
      <c r="A297" s="1847"/>
      <c r="B297" s="1856"/>
      <c r="C297" s="667" t="s">
        <v>22</v>
      </c>
      <c r="D297" s="936"/>
      <c r="E297" s="1862"/>
      <c r="F297" s="1225"/>
      <c r="G297" s="1767">
        <v>0</v>
      </c>
      <c r="H297" s="1767">
        <v>0</v>
      </c>
      <c r="I297" s="1767">
        <v>0</v>
      </c>
      <c r="J297" s="1767">
        <v>0</v>
      </c>
      <c r="K297" s="1767">
        <v>0</v>
      </c>
      <c r="L297" s="1767">
        <v>0</v>
      </c>
      <c r="M297" s="1767">
        <v>0</v>
      </c>
      <c r="N297" s="1767">
        <v>0</v>
      </c>
      <c r="O297" s="1767">
        <v>0</v>
      </c>
      <c r="P297" s="1767">
        <v>0</v>
      </c>
      <c r="Q297" s="1767">
        <v>0</v>
      </c>
      <c r="R297" s="1767">
        <v>0</v>
      </c>
      <c r="S297" s="1767">
        <v>0</v>
      </c>
      <c r="T297" s="1767">
        <v>0</v>
      </c>
      <c r="U297" s="1767">
        <v>0</v>
      </c>
      <c r="V297" s="1767">
        <v>0</v>
      </c>
      <c r="W297" s="1767">
        <v>0</v>
      </c>
      <c r="X297" s="1767">
        <v>0</v>
      </c>
      <c r="Y297" s="1767">
        <v>0</v>
      </c>
      <c r="Z297" s="1767">
        <v>0</v>
      </c>
      <c r="AA297" s="1767">
        <v>0</v>
      </c>
      <c r="AB297" s="1767">
        <v>0</v>
      </c>
      <c r="AC297" s="1767">
        <v>0</v>
      </c>
      <c r="AD297" s="1767">
        <v>0</v>
      </c>
      <c r="AE297" s="1767">
        <v>0</v>
      </c>
      <c r="AF297" s="1767">
        <v>0</v>
      </c>
      <c r="AG297" s="1767">
        <v>0</v>
      </c>
      <c r="AH297" s="1767">
        <v>0</v>
      </c>
      <c r="AI297" s="1767">
        <v>0</v>
      </c>
      <c r="AJ297" s="1767">
        <v>0</v>
      </c>
      <c r="AK297" s="1767">
        <v>0</v>
      </c>
      <c r="AL297" s="1767">
        <v>0</v>
      </c>
      <c r="AM297" s="1767">
        <v>0</v>
      </c>
      <c r="AN297" s="1767">
        <v>0</v>
      </c>
      <c r="AO297" s="1767">
        <v>0</v>
      </c>
      <c r="AP297" s="1767">
        <v>0</v>
      </c>
      <c r="AQ297" s="1767">
        <v>0</v>
      </c>
      <c r="AR297" s="1767">
        <v>0</v>
      </c>
      <c r="AS297" s="1767">
        <v>0</v>
      </c>
      <c r="AT297" s="1767">
        <v>0</v>
      </c>
      <c r="AU297" s="1767">
        <v>0</v>
      </c>
      <c r="AV297" s="1767">
        <v>0</v>
      </c>
      <c r="AW297" s="1767">
        <v>0</v>
      </c>
      <c r="AX297" s="1767">
        <v>0</v>
      </c>
      <c r="AY297" s="1767">
        <v>0</v>
      </c>
      <c r="AZ297" s="1767">
        <v>0</v>
      </c>
      <c r="BA297" s="1767">
        <v>0</v>
      </c>
      <c r="BB297" s="1767">
        <v>0</v>
      </c>
      <c r="BC297" s="1767">
        <v>0</v>
      </c>
      <c r="BD297" s="1767">
        <v>0</v>
      </c>
      <c r="BE297" s="1767">
        <v>0</v>
      </c>
      <c r="BF297" s="1767">
        <v>0</v>
      </c>
      <c r="BG297" s="1767">
        <v>0</v>
      </c>
      <c r="BH297" s="1767">
        <v>0</v>
      </c>
      <c r="BI297" s="1767">
        <v>0</v>
      </c>
      <c r="BJ297" s="1767">
        <v>0</v>
      </c>
      <c r="BK297" s="1767">
        <v>0</v>
      </c>
      <c r="BL297" s="1767">
        <v>0</v>
      </c>
      <c r="BM297" s="1767">
        <v>0</v>
      </c>
      <c r="BN297" s="1767">
        <v>0</v>
      </c>
      <c r="BO297" s="1767">
        <v>0</v>
      </c>
      <c r="BP297" s="1767">
        <v>0</v>
      </c>
      <c r="BQ297" s="1767">
        <v>0</v>
      </c>
      <c r="BR297" s="1767">
        <v>0</v>
      </c>
      <c r="BS297" s="1767">
        <v>0</v>
      </c>
      <c r="BT297" s="1767">
        <v>0</v>
      </c>
      <c r="BU297" s="1767">
        <v>0</v>
      </c>
      <c r="BV297" s="1767">
        <v>0</v>
      </c>
      <c r="BW297" s="1767">
        <v>0</v>
      </c>
      <c r="BX297" s="1767">
        <v>0</v>
      </c>
      <c r="BY297" s="1767">
        <v>0</v>
      </c>
      <c r="BZ297" s="1767">
        <v>0</v>
      </c>
      <c r="CA297" s="1767">
        <v>0</v>
      </c>
      <c r="CB297" s="1767">
        <v>0</v>
      </c>
      <c r="CC297" s="1767">
        <v>0</v>
      </c>
      <c r="CD297" s="1767">
        <v>0</v>
      </c>
      <c r="CE297" s="1767">
        <v>0</v>
      </c>
      <c r="CF297" s="1767">
        <v>0</v>
      </c>
      <c r="CG297" s="1767">
        <v>0</v>
      </c>
      <c r="CH297" s="1767">
        <v>0</v>
      </c>
      <c r="CI297" s="1767">
        <v>0</v>
      </c>
      <c r="CJ297" s="1767">
        <v>0</v>
      </c>
      <c r="CK297" s="1767">
        <v>0</v>
      </c>
      <c r="CL297" s="1767">
        <v>0</v>
      </c>
      <c r="CM297" s="1767">
        <v>0</v>
      </c>
      <c r="CN297" s="1767">
        <v>0</v>
      </c>
      <c r="CO297" s="1767">
        <v>0</v>
      </c>
      <c r="CP297" s="1767">
        <v>0</v>
      </c>
    </row>
    <row r="298" spans="1:94" ht="15" customHeight="1" x14ac:dyDescent="0.2">
      <c r="A298" s="1847"/>
      <c r="B298" s="1856"/>
      <c r="C298" s="653" t="s">
        <v>76</v>
      </c>
      <c r="D298" s="936"/>
      <c r="E298" s="1862"/>
      <c r="F298" s="1225"/>
      <c r="G298" s="1767">
        <v>0</v>
      </c>
      <c r="H298" s="1767">
        <v>0</v>
      </c>
      <c r="I298" s="1767">
        <v>0</v>
      </c>
      <c r="J298" s="1767">
        <v>0</v>
      </c>
      <c r="K298" s="1767">
        <v>0</v>
      </c>
      <c r="L298" s="1767">
        <v>0</v>
      </c>
      <c r="M298" s="1767">
        <v>0</v>
      </c>
      <c r="N298" s="1767">
        <v>0</v>
      </c>
      <c r="O298" s="1767">
        <v>0</v>
      </c>
      <c r="P298" s="1767">
        <v>0</v>
      </c>
      <c r="Q298" s="1767">
        <v>0</v>
      </c>
      <c r="R298" s="1767">
        <v>0</v>
      </c>
      <c r="S298" s="1767">
        <v>0</v>
      </c>
      <c r="T298" s="1767">
        <v>0</v>
      </c>
      <c r="U298" s="1767">
        <v>0</v>
      </c>
      <c r="V298" s="1767">
        <v>0</v>
      </c>
      <c r="W298" s="1767">
        <v>0</v>
      </c>
      <c r="X298" s="1767">
        <v>0</v>
      </c>
      <c r="Y298" s="1767">
        <v>0</v>
      </c>
      <c r="Z298" s="1767">
        <v>0</v>
      </c>
      <c r="AA298" s="1767">
        <v>0</v>
      </c>
      <c r="AB298" s="1767">
        <v>0</v>
      </c>
      <c r="AC298" s="1767">
        <v>0</v>
      </c>
      <c r="AD298" s="1767">
        <v>0</v>
      </c>
      <c r="AE298" s="1767">
        <v>0</v>
      </c>
      <c r="AF298" s="1767">
        <v>0</v>
      </c>
      <c r="AG298" s="1767">
        <v>0</v>
      </c>
      <c r="AH298" s="1767">
        <v>0</v>
      </c>
      <c r="AI298" s="1767">
        <v>0</v>
      </c>
      <c r="AJ298" s="1767">
        <v>0</v>
      </c>
      <c r="AK298" s="1767">
        <v>0</v>
      </c>
      <c r="AL298" s="1767">
        <v>0</v>
      </c>
      <c r="AM298" s="1767">
        <v>0</v>
      </c>
      <c r="AN298" s="1767">
        <v>0</v>
      </c>
      <c r="AO298" s="1767">
        <v>0</v>
      </c>
      <c r="AP298" s="1767">
        <v>0</v>
      </c>
      <c r="AQ298" s="1767">
        <v>0</v>
      </c>
      <c r="AR298" s="1767">
        <v>0</v>
      </c>
      <c r="AS298" s="1767">
        <v>0</v>
      </c>
      <c r="AT298" s="1767">
        <v>0</v>
      </c>
      <c r="AU298" s="1767">
        <v>0</v>
      </c>
      <c r="AV298" s="1767">
        <v>0</v>
      </c>
      <c r="AW298" s="1767">
        <v>0</v>
      </c>
      <c r="AX298" s="1767">
        <v>0</v>
      </c>
      <c r="AY298" s="1767">
        <v>0</v>
      </c>
      <c r="AZ298" s="1767">
        <v>0</v>
      </c>
      <c r="BA298" s="1767">
        <v>0</v>
      </c>
      <c r="BB298" s="1767">
        <v>0</v>
      </c>
      <c r="BC298" s="1767">
        <v>0</v>
      </c>
      <c r="BD298" s="1767">
        <v>0</v>
      </c>
      <c r="BE298" s="1767">
        <v>0</v>
      </c>
      <c r="BF298" s="1767">
        <v>0</v>
      </c>
      <c r="BG298" s="1767">
        <v>0</v>
      </c>
      <c r="BH298" s="1767">
        <v>0</v>
      </c>
      <c r="BI298" s="1767">
        <v>0</v>
      </c>
      <c r="BJ298" s="1767">
        <v>0</v>
      </c>
      <c r="BK298" s="1767">
        <v>0</v>
      </c>
      <c r="BL298" s="1767">
        <v>0</v>
      </c>
      <c r="BM298" s="1767">
        <v>0</v>
      </c>
      <c r="BN298" s="1767">
        <v>0</v>
      </c>
      <c r="BO298" s="1767">
        <v>0</v>
      </c>
      <c r="BP298" s="1767">
        <v>0</v>
      </c>
      <c r="BQ298" s="1767">
        <v>0</v>
      </c>
      <c r="BR298" s="1767">
        <v>0</v>
      </c>
      <c r="BS298" s="1767">
        <v>0</v>
      </c>
      <c r="BT298" s="1767">
        <v>0</v>
      </c>
      <c r="BU298" s="1767">
        <v>0</v>
      </c>
      <c r="BV298" s="1767">
        <v>0</v>
      </c>
      <c r="BW298" s="1767">
        <v>0</v>
      </c>
      <c r="BX298" s="1767">
        <v>0</v>
      </c>
      <c r="BY298" s="1767">
        <v>0</v>
      </c>
      <c r="BZ298" s="1767">
        <v>0</v>
      </c>
      <c r="CA298" s="1767">
        <v>0</v>
      </c>
      <c r="CB298" s="1767">
        <v>0</v>
      </c>
      <c r="CC298" s="1767">
        <v>0</v>
      </c>
      <c r="CD298" s="1767">
        <v>0</v>
      </c>
      <c r="CE298" s="1767">
        <v>0</v>
      </c>
      <c r="CF298" s="1767">
        <v>0</v>
      </c>
      <c r="CG298" s="1767">
        <v>0</v>
      </c>
      <c r="CH298" s="1767">
        <v>0</v>
      </c>
      <c r="CI298" s="1767">
        <v>0</v>
      </c>
      <c r="CJ298" s="1767">
        <v>0</v>
      </c>
      <c r="CK298" s="1767">
        <v>0</v>
      </c>
      <c r="CL298" s="1767">
        <v>0</v>
      </c>
      <c r="CM298" s="1767">
        <v>0</v>
      </c>
      <c r="CN298" s="1767">
        <v>0</v>
      </c>
      <c r="CO298" s="1767">
        <v>0</v>
      </c>
      <c r="CP298" s="1767">
        <v>0</v>
      </c>
    </row>
    <row r="299" spans="1:94" ht="15" customHeight="1" thickBot="1" x14ac:dyDescent="0.25">
      <c r="A299" s="1848"/>
      <c r="B299" s="1857"/>
      <c r="C299" s="654" t="s">
        <v>2113</v>
      </c>
      <c r="D299" s="950"/>
      <c r="E299" s="1863"/>
      <c r="F299" s="1225"/>
      <c r="G299" s="1767">
        <v>0</v>
      </c>
      <c r="H299" s="1767">
        <v>0</v>
      </c>
      <c r="I299" s="1767">
        <v>0</v>
      </c>
      <c r="J299" s="1767">
        <v>0</v>
      </c>
      <c r="K299" s="1767">
        <v>0</v>
      </c>
      <c r="L299" s="1767">
        <v>0</v>
      </c>
      <c r="M299" s="1767">
        <v>0</v>
      </c>
      <c r="N299" s="1767">
        <v>0</v>
      </c>
      <c r="O299" s="1767">
        <v>0</v>
      </c>
      <c r="P299" s="1767">
        <v>0</v>
      </c>
      <c r="Q299" s="1767">
        <v>0</v>
      </c>
      <c r="R299" s="1767">
        <v>0</v>
      </c>
      <c r="S299" s="1767">
        <v>0</v>
      </c>
      <c r="T299" s="1767">
        <v>0</v>
      </c>
      <c r="U299" s="1767">
        <v>0</v>
      </c>
      <c r="V299" s="1767">
        <v>0</v>
      </c>
      <c r="W299" s="1767">
        <v>0</v>
      </c>
      <c r="X299" s="1767">
        <v>0</v>
      </c>
      <c r="Y299" s="1767">
        <v>0</v>
      </c>
      <c r="Z299" s="1767">
        <v>0</v>
      </c>
      <c r="AA299" s="1767">
        <v>0</v>
      </c>
      <c r="AB299" s="1767">
        <v>0</v>
      </c>
      <c r="AC299" s="1767">
        <v>0</v>
      </c>
      <c r="AD299" s="1767">
        <v>0</v>
      </c>
      <c r="AE299" s="1767">
        <v>0</v>
      </c>
      <c r="AF299" s="1767">
        <v>0</v>
      </c>
      <c r="AG299" s="1767">
        <v>0</v>
      </c>
      <c r="AH299" s="1767">
        <v>0</v>
      </c>
      <c r="AI299" s="1767">
        <v>0</v>
      </c>
      <c r="AJ299" s="1767">
        <v>0</v>
      </c>
      <c r="AK299" s="1767">
        <v>0</v>
      </c>
      <c r="AL299" s="1767">
        <v>0</v>
      </c>
      <c r="AM299" s="1767">
        <v>0</v>
      </c>
      <c r="AN299" s="1767">
        <v>0</v>
      </c>
      <c r="AO299" s="1767">
        <v>0</v>
      </c>
      <c r="AP299" s="1767">
        <v>0</v>
      </c>
      <c r="AQ299" s="1767">
        <v>0</v>
      </c>
      <c r="AR299" s="1767">
        <v>0</v>
      </c>
      <c r="AS299" s="1767">
        <v>0</v>
      </c>
      <c r="AT299" s="1767">
        <v>0</v>
      </c>
      <c r="AU299" s="1767">
        <v>0</v>
      </c>
      <c r="AV299" s="1767">
        <v>0</v>
      </c>
      <c r="AW299" s="1767">
        <v>0</v>
      </c>
      <c r="AX299" s="1767">
        <v>0</v>
      </c>
      <c r="AY299" s="1767">
        <v>0</v>
      </c>
      <c r="AZ299" s="1767">
        <v>0</v>
      </c>
      <c r="BA299" s="1767">
        <v>0</v>
      </c>
      <c r="BB299" s="1767">
        <v>0</v>
      </c>
      <c r="BC299" s="1767">
        <v>0</v>
      </c>
      <c r="BD299" s="1767">
        <v>0</v>
      </c>
      <c r="BE299" s="1767">
        <v>0</v>
      </c>
      <c r="BF299" s="1767">
        <v>0</v>
      </c>
      <c r="BG299" s="1767">
        <v>0</v>
      </c>
      <c r="BH299" s="1767">
        <v>0</v>
      </c>
      <c r="BI299" s="1767">
        <v>0</v>
      </c>
      <c r="BJ299" s="1767">
        <v>0</v>
      </c>
      <c r="BK299" s="1767">
        <v>0</v>
      </c>
      <c r="BL299" s="1767">
        <v>0</v>
      </c>
      <c r="BM299" s="1767">
        <v>0</v>
      </c>
      <c r="BN299" s="1767">
        <v>0</v>
      </c>
      <c r="BO299" s="1767">
        <v>0</v>
      </c>
      <c r="BP299" s="1767">
        <v>0</v>
      </c>
      <c r="BQ299" s="1767">
        <v>0</v>
      </c>
      <c r="BR299" s="1767">
        <v>0</v>
      </c>
      <c r="BS299" s="1767">
        <v>0</v>
      </c>
      <c r="BT299" s="1767">
        <v>0</v>
      </c>
      <c r="BU299" s="1767">
        <v>0</v>
      </c>
      <c r="BV299" s="1767">
        <v>0</v>
      </c>
      <c r="BW299" s="1767">
        <v>0</v>
      </c>
      <c r="BX299" s="1767">
        <v>0</v>
      </c>
      <c r="BY299" s="1767">
        <v>0</v>
      </c>
      <c r="BZ299" s="1767">
        <v>0</v>
      </c>
      <c r="CA299" s="1767">
        <v>0</v>
      </c>
      <c r="CB299" s="1767">
        <v>0</v>
      </c>
      <c r="CC299" s="1767">
        <v>0</v>
      </c>
      <c r="CD299" s="1767">
        <v>0</v>
      </c>
      <c r="CE299" s="1767">
        <v>0</v>
      </c>
      <c r="CF299" s="1767">
        <v>0</v>
      </c>
      <c r="CG299" s="1767">
        <v>0</v>
      </c>
      <c r="CH299" s="1767">
        <v>0</v>
      </c>
      <c r="CI299" s="1767">
        <v>0</v>
      </c>
      <c r="CJ299" s="1767">
        <v>0</v>
      </c>
      <c r="CK299" s="1767">
        <v>0</v>
      </c>
      <c r="CL299" s="1767">
        <v>0</v>
      </c>
      <c r="CM299" s="1767">
        <v>0</v>
      </c>
      <c r="CN299" s="1767">
        <v>0</v>
      </c>
      <c r="CO299" s="1767">
        <v>0</v>
      </c>
      <c r="CP299" s="1767">
        <v>0</v>
      </c>
    </row>
    <row r="300" spans="1:94" ht="30" customHeight="1" thickBot="1" x14ac:dyDescent="0.25">
      <c r="A300" s="668" t="s">
        <v>258</v>
      </c>
      <c r="B300" s="937" t="s">
        <v>487</v>
      </c>
      <c r="C300" s="1777" t="s">
        <v>551</v>
      </c>
      <c r="D300" s="953"/>
      <c r="E300" s="954" t="s">
        <v>2066</v>
      </c>
      <c r="F300" s="1225"/>
      <c r="G300" s="1767">
        <v>0</v>
      </c>
      <c r="H300" s="1769">
        <v>0</v>
      </c>
      <c r="I300" s="1769">
        <v>0</v>
      </c>
      <c r="J300" s="1769">
        <v>0</v>
      </c>
      <c r="K300" s="1769">
        <v>0</v>
      </c>
      <c r="L300" s="1769">
        <v>0</v>
      </c>
      <c r="M300" s="1769">
        <v>0</v>
      </c>
      <c r="N300" s="1769">
        <v>0</v>
      </c>
      <c r="O300" s="1769">
        <v>0</v>
      </c>
      <c r="P300" s="1769">
        <v>0</v>
      </c>
      <c r="Q300" s="1769">
        <v>0</v>
      </c>
      <c r="R300" s="1769">
        <v>0</v>
      </c>
      <c r="S300" s="1769">
        <v>0</v>
      </c>
      <c r="T300" s="1769">
        <v>0</v>
      </c>
      <c r="U300" s="1769">
        <v>0</v>
      </c>
      <c r="V300" s="1769">
        <v>0</v>
      </c>
      <c r="W300" s="1769">
        <v>0</v>
      </c>
      <c r="X300" s="1769">
        <v>0</v>
      </c>
      <c r="Y300" s="1769">
        <v>0</v>
      </c>
      <c r="Z300" s="1769">
        <v>0</v>
      </c>
      <c r="AA300" s="1769">
        <v>0</v>
      </c>
      <c r="AB300" s="1769">
        <v>0</v>
      </c>
      <c r="AC300" s="1769">
        <v>0</v>
      </c>
      <c r="AD300" s="1769">
        <v>0</v>
      </c>
      <c r="AE300" s="1769">
        <v>0</v>
      </c>
      <c r="AF300" s="1769">
        <v>0</v>
      </c>
      <c r="AG300" s="1769">
        <v>0</v>
      </c>
      <c r="AH300" s="1769">
        <v>0</v>
      </c>
      <c r="AI300" s="1769">
        <v>0</v>
      </c>
      <c r="AJ300" s="1769">
        <v>0</v>
      </c>
      <c r="AK300" s="1769">
        <v>0</v>
      </c>
      <c r="AL300" s="1769">
        <v>0</v>
      </c>
      <c r="AM300" s="1769">
        <v>0</v>
      </c>
      <c r="AN300" s="1769">
        <v>0</v>
      </c>
      <c r="AO300" s="1769">
        <v>0</v>
      </c>
      <c r="AP300" s="1769">
        <v>0</v>
      </c>
      <c r="AQ300" s="1769">
        <v>0</v>
      </c>
      <c r="AR300" s="1769">
        <v>0</v>
      </c>
      <c r="AS300" s="1769">
        <v>0</v>
      </c>
      <c r="AT300" s="1769">
        <v>0</v>
      </c>
      <c r="AU300" s="1769">
        <v>0</v>
      </c>
      <c r="AV300" s="1769">
        <v>0</v>
      </c>
      <c r="AW300" s="1769">
        <v>0</v>
      </c>
      <c r="AX300" s="1769">
        <v>0</v>
      </c>
      <c r="AY300" s="1769">
        <v>0</v>
      </c>
      <c r="AZ300" s="1769">
        <v>0</v>
      </c>
      <c r="BA300" s="1769">
        <v>0</v>
      </c>
      <c r="BB300" s="1769">
        <v>0</v>
      </c>
      <c r="BC300" s="1769">
        <v>0</v>
      </c>
      <c r="BD300" s="1769">
        <v>0</v>
      </c>
      <c r="BE300" s="1769">
        <v>0</v>
      </c>
      <c r="BF300" s="1769">
        <v>0</v>
      </c>
      <c r="BG300" s="1769">
        <v>0</v>
      </c>
      <c r="BH300" s="1769">
        <v>0</v>
      </c>
      <c r="BI300" s="1769">
        <v>0</v>
      </c>
      <c r="BJ300" s="1769">
        <v>0</v>
      </c>
      <c r="BK300" s="1769">
        <v>0</v>
      </c>
      <c r="BL300" s="1769">
        <v>0</v>
      </c>
      <c r="BM300" s="1769">
        <v>0</v>
      </c>
      <c r="BN300" s="1769">
        <v>0</v>
      </c>
      <c r="BO300" s="1769">
        <v>0</v>
      </c>
      <c r="BP300" s="1769">
        <v>0</v>
      </c>
      <c r="BQ300" s="1769">
        <v>0</v>
      </c>
      <c r="BR300" s="1769">
        <v>0</v>
      </c>
      <c r="BS300" s="1769">
        <v>0</v>
      </c>
      <c r="BT300" s="1769">
        <v>0</v>
      </c>
      <c r="BU300" s="1769">
        <v>0</v>
      </c>
      <c r="BV300" s="1769">
        <v>0</v>
      </c>
      <c r="BW300" s="1769">
        <v>0</v>
      </c>
      <c r="BX300" s="1769">
        <v>0</v>
      </c>
      <c r="BY300" s="1769">
        <v>0</v>
      </c>
      <c r="BZ300" s="1769">
        <v>0</v>
      </c>
      <c r="CA300" s="1769">
        <v>0</v>
      </c>
      <c r="CB300" s="1769">
        <v>0</v>
      </c>
      <c r="CC300" s="1769">
        <v>0</v>
      </c>
      <c r="CD300" s="1769">
        <v>0</v>
      </c>
      <c r="CE300" s="1769">
        <v>0</v>
      </c>
      <c r="CF300" s="1769">
        <v>0</v>
      </c>
      <c r="CG300" s="1769">
        <v>0</v>
      </c>
      <c r="CH300" s="1769">
        <v>0</v>
      </c>
      <c r="CI300" s="1769">
        <v>0</v>
      </c>
      <c r="CJ300" s="1769">
        <v>0</v>
      </c>
      <c r="CK300" s="1769">
        <v>0</v>
      </c>
      <c r="CL300" s="1769">
        <v>0</v>
      </c>
      <c r="CM300" s="1769">
        <v>0</v>
      </c>
      <c r="CN300" s="1769">
        <v>0</v>
      </c>
      <c r="CO300" s="1769">
        <v>0</v>
      </c>
      <c r="CP300" s="1769">
        <v>0</v>
      </c>
    </row>
    <row r="301" spans="1:94" ht="45" customHeight="1" thickBot="1" x14ac:dyDescent="0.25">
      <c r="A301" s="668" t="s">
        <v>244</v>
      </c>
      <c r="B301" s="718" t="s">
        <v>488</v>
      </c>
      <c r="C301" s="1777" t="s">
        <v>491</v>
      </c>
      <c r="D301" s="953"/>
      <c r="E301" s="957" t="s">
        <v>1825</v>
      </c>
      <c r="F301" s="1225"/>
      <c r="G301" s="1767">
        <v>0</v>
      </c>
      <c r="H301" s="1769">
        <v>0</v>
      </c>
      <c r="I301" s="1769">
        <v>0</v>
      </c>
      <c r="J301" s="1769">
        <v>0</v>
      </c>
      <c r="K301" s="1769">
        <v>0</v>
      </c>
      <c r="L301" s="1769">
        <v>0</v>
      </c>
      <c r="M301" s="1769">
        <v>0</v>
      </c>
      <c r="N301" s="1769">
        <v>0</v>
      </c>
      <c r="O301" s="1769">
        <v>0</v>
      </c>
      <c r="P301" s="1769">
        <v>0</v>
      </c>
      <c r="Q301" s="1769">
        <v>0</v>
      </c>
      <c r="R301" s="1769">
        <v>0</v>
      </c>
      <c r="S301" s="1769">
        <v>0</v>
      </c>
      <c r="T301" s="1769">
        <v>0</v>
      </c>
      <c r="U301" s="1769">
        <v>0</v>
      </c>
      <c r="V301" s="1769">
        <v>0</v>
      </c>
      <c r="W301" s="1769">
        <v>0</v>
      </c>
      <c r="X301" s="1769">
        <v>0</v>
      </c>
      <c r="Y301" s="1769">
        <v>0</v>
      </c>
      <c r="Z301" s="1769">
        <v>0</v>
      </c>
      <c r="AA301" s="1769">
        <v>0</v>
      </c>
      <c r="AB301" s="1769">
        <v>0</v>
      </c>
      <c r="AC301" s="1769">
        <v>0</v>
      </c>
      <c r="AD301" s="1769">
        <v>0</v>
      </c>
      <c r="AE301" s="1769">
        <v>0</v>
      </c>
      <c r="AF301" s="1769">
        <v>0</v>
      </c>
      <c r="AG301" s="1769">
        <v>0</v>
      </c>
      <c r="AH301" s="1769">
        <v>0</v>
      </c>
      <c r="AI301" s="1769">
        <v>0</v>
      </c>
      <c r="AJ301" s="1769">
        <v>0</v>
      </c>
      <c r="AK301" s="1769">
        <v>0</v>
      </c>
      <c r="AL301" s="1769">
        <v>0</v>
      </c>
      <c r="AM301" s="1769">
        <v>0</v>
      </c>
      <c r="AN301" s="1769">
        <v>0</v>
      </c>
      <c r="AO301" s="1769">
        <v>0</v>
      </c>
      <c r="AP301" s="1769">
        <v>0</v>
      </c>
      <c r="AQ301" s="1769">
        <v>0</v>
      </c>
      <c r="AR301" s="1769">
        <v>0</v>
      </c>
      <c r="AS301" s="1769">
        <v>0</v>
      </c>
      <c r="AT301" s="1769">
        <v>0</v>
      </c>
      <c r="AU301" s="1769">
        <v>0</v>
      </c>
      <c r="AV301" s="1769">
        <v>0</v>
      </c>
      <c r="AW301" s="1769">
        <v>0</v>
      </c>
      <c r="AX301" s="1769">
        <v>0</v>
      </c>
      <c r="AY301" s="1769">
        <v>0</v>
      </c>
      <c r="AZ301" s="1769">
        <v>0</v>
      </c>
      <c r="BA301" s="1769">
        <v>0</v>
      </c>
      <c r="BB301" s="1769">
        <v>0</v>
      </c>
      <c r="BC301" s="1769">
        <v>0</v>
      </c>
      <c r="BD301" s="1769">
        <v>0</v>
      </c>
      <c r="BE301" s="1769">
        <v>0</v>
      </c>
      <c r="BF301" s="1769">
        <v>0</v>
      </c>
      <c r="BG301" s="1769">
        <v>0</v>
      </c>
      <c r="BH301" s="1769">
        <v>0</v>
      </c>
      <c r="BI301" s="1769">
        <v>0</v>
      </c>
      <c r="BJ301" s="1769">
        <v>0</v>
      </c>
      <c r="BK301" s="1769">
        <v>0</v>
      </c>
      <c r="BL301" s="1769">
        <v>0</v>
      </c>
      <c r="BM301" s="1769">
        <v>0</v>
      </c>
      <c r="BN301" s="1769">
        <v>0</v>
      </c>
      <c r="BO301" s="1769">
        <v>0</v>
      </c>
      <c r="BP301" s="1769">
        <v>0</v>
      </c>
      <c r="BQ301" s="1769">
        <v>0</v>
      </c>
      <c r="BR301" s="1769">
        <v>0</v>
      </c>
      <c r="BS301" s="1769">
        <v>0</v>
      </c>
      <c r="BT301" s="1769">
        <v>0</v>
      </c>
      <c r="BU301" s="1769">
        <v>0</v>
      </c>
      <c r="BV301" s="1769">
        <v>0</v>
      </c>
      <c r="BW301" s="1769">
        <v>0</v>
      </c>
      <c r="BX301" s="1769">
        <v>0</v>
      </c>
      <c r="BY301" s="1769">
        <v>0</v>
      </c>
      <c r="BZ301" s="1769">
        <v>0</v>
      </c>
      <c r="CA301" s="1769">
        <v>0</v>
      </c>
      <c r="CB301" s="1769">
        <v>0</v>
      </c>
      <c r="CC301" s="1769">
        <v>0</v>
      </c>
      <c r="CD301" s="1769">
        <v>0</v>
      </c>
      <c r="CE301" s="1769">
        <v>0</v>
      </c>
      <c r="CF301" s="1769">
        <v>0</v>
      </c>
      <c r="CG301" s="1769">
        <v>0</v>
      </c>
      <c r="CH301" s="1769">
        <v>0</v>
      </c>
      <c r="CI301" s="1769">
        <v>0</v>
      </c>
      <c r="CJ301" s="1769">
        <v>0</v>
      </c>
      <c r="CK301" s="1769">
        <v>0</v>
      </c>
      <c r="CL301" s="1769">
        <v>0</v>
      </c>
      <c r="CM301" s="1769">
        <v>0</v>
      </c>
      <c r="CN301" s="1769">
        <v>0</v>
      </c>
      <c r="CO301" s="1769">
        <v>0</v>
      </c>
      <c r="CP301" s="1769">
        <v>0</v>
      </c>
    </row>
    <row r="302" spans="1:94" ht="30" customHeight="1" thickBot="1" x14ac:dyDescent="0.25">
      <c r="A302" s="1856" t="s">
        <v>245</v>
      </c>
      <c r="B302" s="1856" t="s">
        <v>35</v>
      </c>
      <c r="C302" s="1789" t="s">
        <v>2539</v>
      </c>
      <c r="D302" s="975"/>
      <c r="E302" s="1831" t="s">
        <v>2064</v>
      </c>
      <c r="F302" s="1225"/>
      <c r="G302" s="1742"/>
      <c r="H302" s="1742"/>
      <c r="I302" s="1742"/>
      <c r="J302" s="1742"/>
      <c r="K302" s="1742"/>
      <c r="L302" s="1742"/>
      <c r="M302" s="1742"/>
      <c r="N302" s="1742"/>
      <c r="O302" s="1742"/>
      <c r="P302" s="1742"/>
      <c r="Q302" s="1742"/>
      <c r="R302" s="1742"/>
      <c r="S302" s="1742"/>
      <c r="T302" s="1742"/>
      <c r="U302" s="1742"/>
      <c r="V302" s="1742"/>
      <c r="W302" s="1742"/>
      <c r="X302" s="1742"/>
      <c r="Y302" s="1742"/>
      <c r="Z302" s="1742"/>
      <c r="AA302" s="1742"/>
      <c r="AB302" s="1742"/>
      <c r="AC302" s="1742"/>
      <c r="AD302" s="1742"/>
      <c r="AE302" s="1742"/>
      <c r="AF302" s="1742"/>
      <c r="AG302" s="1742"/>
      <c r="AH302" s="1742"/>
      <c r="AI302" s="1742"/>
      <c r="AJ302" s="1742"/>
      <c r="AK302" s="1742"/>
      <c r="AL302" s="1742"/>
      <c r="AM302" s="1742"/>
      <c r="AN302" s="1742"/>
      <c r="AO302" s="1742"/>
      <c r="AP302" s="1742"/>
      <c r="AQ302" s="1742"/>
      <c r="AR302" s="1742"/>
      <c r="AS302" s="1742"/>
      <c r="AT302" s="1742"/>
      <c r="AU302" s="1742"/>
      <c r="AV302" s="1742"/>
      <c r="AW302" s="1742"/>
      <c r="AX302" s="1742"/>
      <c r="AY302" s="1742"/>
      <c r="AZ302" s="1742"/>
      <c r="BA302" s="1742"/>
      <c r="BB302" s="1742"/>
      <c r="BC302" s="1742"/>
      <c r="BD302" s="1742"/>
      <c r="BE302" s="1742"/>
      <c r="BF302" s="1742"/>
      <c r="BG302" s="1742"/>
      <c r="BH302" s="1742"/>
      <c r="BI302" s="1742"/>
      <c r="BJ302" s="1742"/>
      <c r="BK302" s="1742"/>
      <c r="BL302" s="1742"/>
      <c r="BM302" s="1742"/>
      <c r="BN302" s="1742"/>
      <c r="BO302" s="1742"/>
      <c r="BP302" s="1742"/>
      <c r="BQ302" s="1742"/>
      <c r="BR302" s="1742"/>
      <c r="BS302" s="1742"/>
      <c r="BT302" s="1742"/>
      <c r="BU302" s="1742"/>
      <c r="BV302" s="1742"/>
      <c r="BW302" s="1742"/>
      <c r="BX302" s="1742"/>
      <c r="BY302" s="1742"/>
      <c r="BZ302" s="1742"/>
      <c r="CA302" s="1742"/>
      <c r="CB302" s="1742"/>
      <c r="CC302" s="1742"/>
      <c r="CD302" s="1742"/>
      <c r="CE302" s="1742"/>
      <c r="CF302" s="1742"/>
      <c r="CG302" s="1742"/>
      <c r="CH302" s="1742"/>
      <c r="CI302" s="1742"/>
      <c r="CJ302" s="1742"/>
      <c r="CK302" s="1742"/>
      <c r="CL302" s="1742"/>
      <c r="CM302" s="1742"/>
      <c r="CN302" s="1742"/>
      <c r="CO302" s="1742"/>
      <c r="CP302" s="1742"/>
    </row>
    <row r="303" spans="1:94" ht="15" customHeight="1" x14ac:dyDescent="0.2">
      <c r="A303" s="1856"/>
      <c r="B303" s="1856"/>
      <c r="C303" s="660" t="s">
        <v>2141</v>
      </c>
      <c r="D303" s="936"/>
      <c r="E303" s="1831"/>
      <c r="F303" s="1225"/>
      <c r="G303" s="1767">
        <v>0</v>
      </c>
      <c r="H303" s="1767">
        <v>0</v>
      </c>
      <c r="I303" s="1767">
        <v>0</v>
      </c>
      <c r="J303" s="1767">
        <v>0</v>
      </c>
      <c r="K303" s="1767">
        <v>0</v>
      </c>
      <c r="L303" s="1767">
        <v>0</v>
      </c>
      <c r="M303" s="1767">
        <v>0</v>
      </c>
      <c r="N303" s="1767">
        <v>0</v>
      </c>
      <c r="O303" s="1767">
        <v>0</v>
      </c>
      <c r="P303" s="1767">
        <v>0</v>
      </c>
      <c r="Q303" s="1767">
        <v>0</v>
      </c>
      <c r="R303" s="1767">
        <v>0</v>
      </c>
      <c r="S303" s="1767">
        <v>0</v>
      </c>
      <c r="T303" s="1767">
        <v>0</v>
      </c>
      <c r="U303" s="1767">
        <v>0</v>
      </c>
      <c r="V303" s="1767">
        <v>0</v>
      </c>
      <c r="W303" s="1767">
        <v>0</v>
      </c>
      <c r="X303" s="1767">
        <v>0</v>
      </c>
      <c r="Y303" s="1767">
        <v>0</v>
      </c>
      <c r="Z303" s="1767">
        <v>0</v>
      </c>
      <c r="AA303" s="1767">
        <v>0</v>
      </c>
      <c r="AB303" s="1767">
        <v>0</v>
      </c>
      <c r="AC303" s="1767">
        <v>0</v>
      </c>
      <c r="AD303" s="1767">
        <v>0</v>
      </c>
      <c r="AE303" s="1767">
        <v>0</v>
      </c>
      <c r="AF303" s="1767">
        <v>0</v>
      </c>
      <c r="AG303" s="1767">
        <v>0</v>
      </c>
      <c r="AH303" s="1767">
        <v>0</v>
      </c>
      <c r="AI303" s="1767">
        <v>0</v>
      </c>
      <c r="AJ303" s="1767">
        <v>0</v>
      </c>
      <c r="AK303" s="1767">
        <v>0</v>
      </c>
      <c r="AL303" s="1767">
        <v>0</v>
      </c>
      <c r="AM303" s="1767">
        <v>0</v>
      </c>
      <c r="AN303" s="1767">
        <v>0</v>
      </c>
      <c r="AO303" s="1767">
        <v>0</v>
      </c>
      <c r="AP303" s="1767">
        <v>0</v>
      </c>
      <c r="AQ303" s="1767">
        <v>0</v>
      </c>
      <c r="AR303" s="1767">
        <v>0</v>
      </c>
      <c r="AS303" s="1767">
        <v>0</v>
      </c>
      <c r="AT303" s="1767">
        <v>0</v>
      </c>
      <c r="AU303" s="1767">
        <v>0</v>
      </c>
      <c r="AV303" s="1767">
        <v>0</v>
      </c>
      <c r="AW303" s="1767">
        <v>0</v>
      </c>
      <c r="AX303" s="1767">
        <v>0</v>
      </c>
      <c r="AY303" s="1767">
        <v>0</v>
      </c>
      <c r="AZ303" s="1767">
        <v>0</v>
      </c>
      <c r="BA303" s="1767">
        <v>0</v>
      </c>
      <c r="BB303" s="1767">
        <v>0</v>
      </c>
      <c r="BC303" s="1767">
        <v>0</v>
      </c>
      <c r="BD303" s="1767">
        <v>0</v>
      </c>
      <c r="BE303" s="1767">
        <v>0</v>
      </c>
      <c r="BF303" s="1767">
        <v>0</v>
      </c>
      <c r="BG303" s="1767">
        <v>0</v>
      </c>
      <c r="BH303" s="1767">
        <v>0</v>
      </c>
      <c r="BI303" s="1767">
        <v>0</v>
      </c>
      <c r="BJ303" s="1767">
        <v>0</v>
      </c>
      <c r="BK303" s="1767">
        <v>0</v>
      </c>
      <c r="BL303" s="1767">
        <v>0</v>
      </c>
      <c r="BM303" s="1767">
        <v>0</v>
      </c>
      <c r="BN303" s="1767">
        <v>0</v>
      </c>
      <c r="BO303" s="1767">
        <v>0</v>
      </c>
      <c r="BP303" s="1767">
        <v>0</v>
      </c>
      <c r="BQ303" s="1767">
        <v>0</v>
      </c>
      <c r="BR303" s="1767">
        <v>0</v>
      </c>
      <c r="BS303" s="1767">
        <v>0</v>
      </c>
      <c r="BT303" s="1767">
        <v>0</v>
      </c>
      <c r="BU303" s="1767">
        <v>0</v>
      </c>
      <c r="BV303" s="1767">
        <v>0</v>
      </c>
      <c r="BW303" s="1767">
        <v>0</v>
      </c>
      <c r="BX303" s="1767">
        <v>0</v>
      </c>
      <c r="BY303" s="1767">
        <v>0</v>
      </c>
      <c r="BZ303" s="1767">
        <v>0</v>
      </c>
      <c r="CA303" s="1767">
        <v>0</v>
      </c>
      <c r="CB303" s="1767">
        <v>0</v>
      </c>
      <c r="CC303" s="1767">
        <v>0</v>
      </c>
      <c r="CD303" s="1767">
        <v>0</v>
      </c>
      <c r="CE303" s="1767">
        <v>0</v>
      </c>
      <c r="CF303" s="1767">
        <v>0</v>
      </c>
      <c r="CG303" s="1767">
        <v>0</v>
      </c>
      <c r="CH303" s="1767">
        <v>0</v>
      </c>
      <c r="CI303" s="1767">
        <v>0</v>
      </c>
      <c r="CJ303" s="1767">
        <v>0</v>
      </c>
      <c r="CK303" s="1767">
        <v>0</v>
      </c>
      <c r="CL303" s="1767">
        <v>0</v>
      </c>
      <c r="CM303" s="1767">
        <v>0</v>
      </c>
      <c r="CN303" s="1767">
        <v>0</v>
      </c>
      <c r="CO303" s="1767">
        <v>0</v>
      </c>
      <c r="CP303" s="1767">
        <v>0</v>
      </c>
    </row>
    <row r="304" spans="1:94" ht="15" customHeight="1" x14ac:dyDescent="0.2">
      <c r="A304" s="1856"/>
      <c r="B304" s="1856"/>
      <c r="C304" s="653" t="s">
        <v>618</v>
      </c>
      <c r="D304" s="936"/>
      <c r="E304" s="1831"/>
      <c r="F304" s="1225"/>
      <c r="G304" s="1767">
        <v>0</v>
      </c>
      <c r="H304" s="1767">
        <v>0</v>
      </c>
      <c r="I304" s="1767">
        <v>0</v>
      </c>
      <c r="J304" s="1767">
        <v>0</v>
      </c>
      <c r="K304" s="1767">
        <v>0</v>
      </c>
      <c r="L304" s="1767">
        <v>0</v>
      </c>
      <c r="M304" s="1767">
        <v>0</v>
      </c>
      <c r="N304" s="1767">
        <v>0</v>
      </c>
      <c r="O304" s="1767">
        <v>0</v>
      </c>
      <c r="P304" s="1767">
        <v>0</v>
      </c>
      <c r="Q304" s="1767">
        <v>0</v>
      </c>
      <c r="R304" s="1767">
        <v>0</v>
      </c>
      <c r="S304" s="1767">
        <v>0</v>
      </c>
      <c r="T304" s="1767">
        <v>0</v>
      </c>
      <c r="U304" s="1767">
        <v>0</v>
      </c>
      <c r="V304" s="1767">
        <v>0</v>
      </c>
      <c r="W304" s="1767">
        <v>0</v>
      </c>
      <c r="X304" s="1767">
        <v>0</v>
      </c>
      <c r="Y304" s="1767">
        <v>0</v>
      </c>
      <c r="Z304" s="1767">
        <v>0</v>
      </c>
      <c r="AA304" s="1767">
        <v>0</v>
      </c>
      <c r="AB304" s="1767">
        <v>0</v>
      </c>
      <c r="AC304" s="1767">
        <v>0</v>
      </c>
      <c r="AD304" s="1767">
        <v>0</v>
      </c>
      <c r="AE304" s="1767">
        <v>0</v>
      </c>
      <c r="AF304" s="1767">
        <v>0</v>
      </c>
      <c r="AG304" s="1767">
        <v>0</v>
      </c>
      <c r="AH304" s="1767">
        <v>0</v>
      </c>
      <c r="AI304" s="1767">
        <v>0</v>
      </c>
      <c r="AJ304" s="1767">
        <v>0</v>
      </c>
      <c r="AK304" s="1767">
        <v>0</v>
      </c>
      <c r="AL304" s="1767">
        <v>0</v>
      </c>
      <c r="AM304" s="1767">
        <v>0</v>
      </c>
      <c r="AN304" s="1767">
        <v>0</v>
      </c>
      <c r="AO304" s="1767">
        <v>0</v>
      </c>
      <c r="AP304" s="1767">
        <v>0</v>
      </c>
      <c r="AQ304" s="1767">
        <v>0</v>
      </c>
      <c r="AR304" s="1767">
        <v>0</v>
      </c>
      <c r="AS304" s="1767">
        <v>0</v>
      </c>
      <c r="AT304" s="1767">
        <v>0</v>
      </c>
      <c r="AU304" s="1767">
        <v>0</v>
      </c>
      <c r="AV304" s="1767">
        <v>0</v>
      </c>
      <c r="AW304" s="1767">
        <v>0</v>
      </c>
      <c r="AX304" s="1767">
        <v>0</v>
      </c>
      <c r="AY304" s="1767">
        <v>0</v>
      </c>
      <c r="AZ304" s="1767">
        <v>0</v>
      </c>
      <c r="BA304" s="1767">
        <v>0</v>
      </c>
      <c r="BB304" s="1767">
        <v>0</v>
      </c>
      <c r="BC304" s="1767">
        <v>0</v>
      </c>
      <c r="BD304" s="1767">
        <v>0</v>
      </c>
      <c r="BE304" s="1767">
        <v>0</v>
      </c>
      <c r="BF304" s="1767">
        <v>0</v>
      </c>
      <c r="BG304" s="1767">
        <v>0</v>
      </c>
      <c r="BH304" s="1767">
        <v>0</v>
      </c>
      <c r="BI304" s="1767">
        <v>0</v>
      </c>
      <c r="BJ304" s="1767">
        <v>0</v>
      </c>
      <c r="BK304" s="1767">
        <v>0</v>
      </c>
      <c r="BL304" s="1767">
        <v>0</v>
      </c>
      <c r="BM304" s="1767">
        <v>0</v>
      </c>
      <c r="BN304" s="1767">
        <v>0</v>
      </c>
      <c r="BO304" s="1767">
        <v>0</v>
      </c>
      <c r="BP304" s="1767">
        <v>0</v>
      </c>
      <c r="BQ304" s="1767">
        <v>0</v>
      </c>
      <c r="BR304" s="1767">
        <v>0</v>
      </c>
      <c r="BS304" s="1767">
        <v>0</v>
      </c>
      <c r="BT304" s="1767">
        <v>0</v>
      </c>
      <c r="BU304" s="1767">
        <v>0</v>
      </c>
      <c r="BV304" s="1767">
        <v>0</v>
      </c>
      <c r="BW304" s="1767">
        <v>0</v>
      </c>
      <c r="BX304" s="1767">
        <v>0</v>
      </c>
      <c r="BY304" s="1767">
        <v>0</v>
      </c>
      <c r="BZ304" s="1767">
        <v>0</v>
      </c>
      <c r="CA304" s="1767">
        <v>0</v>
      </c>
      <c r="CB304" s="1767">
        <v>0</v>
      </c>
      <c r="CC304" s="1767">
        <v>0</v>
      </c>
      <c r="CD304" s="1767">
        <v>0</v>
      </c>
      <c r="CE304" s="1767">
        <v>0</v>
      </c>
      <c r="CF304" s="1767">
        <v>0</v>
      </c>
      <c r="CG304" s="1767">
        <v>0</v>
      </c>
      <c r="CH304" s="1767">
        <v>0</v>
      </c>
      <c r="CI304" s="1767">
        <v>0</v>
      </c>
      <c r="CJ304" s="1767">
        <v>0</v>
      </c>
      <c r="CK304" s="1767">
        <v>0</v>
      </c>
      <c r="CL304" s="1767">
        <v>0</v>
      </c>
      <c r="CM304" s="1767">
        <v>0</v>
      </c>
      <c r="CN304" s="1767">
        <v>0</v>
      </c>
      <c r="CO304" s="1767">
        <v>0</v>
      </c>
      <c r="CP304" s="1767">
        <v>0</v>
      </c>
    </row>
    <row r="305" spans="1:94" ht="15" customHeight="1" x14ac:dyDescent="0.2">
      <c r="A305" s="1856"/>
      <c r="B305" s="1856"/>
      <c r="C305" s="652" t="s">
        <v>2142</v>
      </c>
      <c r="D305" s="936"/>
      <c r="E305" s="1831"/>
      <c r="F305" s="1225"/>
      <c r="G305" s="1767">
        <v>0</v>
      </c>
      <c r="H305" s="1767">
        <v>0</v>
      </c>
      <c r="I305" s="1767">
        <v>0</v>
      </c>
      <c r="J305" s="1767">
        <v>0</v>
      </c>
      <c r="K305" s="1767">
        <v>0</v>
      </c>
      <c r="L305" s="1767">
        <v>0</v>
      </c>
      <c r="M305" s="1767">
        <v>0</v>
      </c>
      <c r="N305" s="1767">
        <v>0</v>
      </c>
      <c r="O305" s="1767">
        <v>0</v>
      </c>
      <c r="P305" s="1767">
        <v>0</v>
      </c>
      <c r="Q305" s="1767">
        <v>0</v>
      </c>
      <c r="R305" s="1767">
        <v>0</v>
      </c>
      <c r="S305" s="1767">
        <v>0</v>
      </c>
      <c r="T305" s="1767">
        <v>0</v>
      </c>
      <c r="U305" s="1767">
        <v>0</v>
      </c>
      <c r="V305" s="1767">
        <v>0</v>
      </c>
      <c r="W305" s="1767">
        <v>0</v>
      </c>
      <c r="X305" s="1767">
        <v>0</v>
      </c>
      <c r="Y305" s="1767">
        <v>0</v>
      </c>
      <c r="Z305" s="1767">
        <v>0</v>
      </c>
      <c r="AA305" s="1767">
        <v>0</v>
      </c>
      <c r="AB305" s="1767">
        <v>0</v>
      </c>
      <c r="AC305" s="1767">
        <v>0</v>
      </c>
      <c r="AD305" s="1767">
        <v>0</v>
      </c>
      <c r="AE305" s="1767">
        <v>0</v>
      </c>
      <c r="AF305" s="1767">
        <v>0</v>
      </c>
      <c r="AG305" s="1767">
        <v>0</v>
      </c>
      <c r="AH305" s="1767">
        <v>0</v>
      </c>
      <c r="AI305" s="1767">
        <v>0</v>
      </c>
      <c r="AJ305" s="1767">
        <v>0</v>
      </c>
      <c r="AK305" s="1767">
        <v>0</v>
      </c>
      <c r="AL305" s="1767">
        <v>0</v>
      </c>
      <c r="AM305" s="1767">
        <v>0</v>
      </c>
      <c r="AN305" s="1767">
        <v>0</v>
      </c>
      <c r="AO305" s="1767">
        <v>0</v>
      </c>
      <c r="AP305" s="1767">
        <v>0</v>
      </c>
      <c r="AQ305" s="1767">
        <v>0</v>
      </c>
      <c r="AR305" s="1767">
        <v>0</v>
      </c>
      <c r="AS305" s="1767">
        <v>0</v>
      </c>
      <c r="AT305" s="1767">
        <v>0</v>
      </c>
      <c r="AU305" s="1767">
        <v>0</v>
      </c>
      <c r="AV305" s="1767">
        <v>0</v>
      </c>
      <c r="AW305" s="1767">
        <v>0</v>
      </c>
      <c r="AX305" s="1767">
        <v>0</v>
      </c>
      <c r="AY305" s="1767">
        <v>0</v>
      </c>
      <c r="AZ305" s="1767">
        <v>0</v>
      </c>
      <c r="BA305" s="1767">
        <v>0</v>
      </c>
      <c r="BB305" s="1767">
        <v>0</v>
      </c>
      <c r="BC305" s="1767">
        <v>0</v>
      </c>
      <c r="BD305" s="1767">
        <v>0</v>
      </c>
      <c r="BE305" s="1767">
        <v>0</v>
      </c>
      <c r="BF305" s="1767">
        <v>0</v>
      </c>
      <c r="BG305" s="1767">
        <v>0</v>
      </c>
      <c r="BH305" s="1767">
        <v>0</v>
      </c>
      <c r="BI305" s="1767">
        <v>0</v>
      </c>
      <c r="BJ305" s="1767">
        <v>0</v>
      </c>
      <c r="BK305" s="1767">
        <v>0</v>
      </c>
      <c r="BL305" s="1767">
        <v>0</v>
      </c>
      <c r="BM305" s="1767">
        <v>0</v>
      </c>
      <c r="BN305" s="1767">
        <v>0</v>
      </c>
      <c r="BO305" s="1767">
        <v>0</v>
      </c>
      <c r="BP305" s="1767">
        <v>0</v>
      </c>
      <c r="BQ305" s="1767">
        <v>0</v>
      </c>
      <c r="BR305" s="1767">
        <v>0</v>
      </c>
      <c r="BS305" s="1767">
        <v>0</v>
      </c>
      <c r="BT305" s="1767">
        <v>0</v>
      </c>
      <c r="BU305" s="1767">
        <v>0</v>
      </c>
      <c r="BV305" s="1767">
        <v>0</v>
      </c>
      <c r="BW305" s="1767">
        <v>0</v>
      </c>
      <c r="BX305" s="1767">
        <v>0</v>
      </c>
      <c r="BY305" s="1767">
        <v>0</v>
      </c>
      <c r="BZ305" s="1767">
        <v>0</v>
      </c>
      <c r="CA305" s="1767">
        <v>0</v>
      </c>
      <c r="CB305" s="1767">
        <v>0</v>
      </c>
      <c r="CC305" s="1767">
        <v>0</v>
      </c>
      <c r="CD305" s="1767">
        <v>0</v>
      </c>
      <c r="CE305" s="1767">
        <v>0</v>
      </c>
      <c r="CF305" s="1767">
        <v>0</v>
      </c>
      <c r="CG305" s="1767">
        <v>0</v>
      </c>
      <c r="CH305" s="1767">
        <v>0</v>
      </c>
      <c r="CI305" s="1767">
        <v>0</v>
      </c>
      <c r="CJ305" s="1767">
        <v>0</v>
      </c>
      <c r="CK305" s="1767">
        <v>0</v>
      </c>
      <c r="CL305" s="1767">
        <v>0</v>
      </c>
      <c r="CM305" s="1767">
        <v>0</v>
      </c>
      <c r="CN305" s="1767">
        <v>0</v>
      </c>
      <c r="CO305" s="1767">
        <v>0</v>
      </c>
      <c r="CP305" s="1767">
        <v>0</v>
      </c>
    </row>
    <row r="306" spans="1:94" ht="15" customHeight="1" x14ac:dyDescent="0.2">
      <c r="A306" s="1856"/>
      <c r="B306" s="1856"/>
      <c r="C306" s="653" t="s">
        <v>2143</v>
      </c>
      <c r="D306" s="936"/>
      <c r="E306" s="1831"/>
      <c r="F306" s="1225"/>
      <c r="G306" s="1767">
        <v>0</v>
      </c>
      <c r="H306" s="1767">
        <v>0</v>
      </c>
      <c r="I306" s="1767">
        <v>0</v>
      </c>
      <c r="J306" s="1767">
        <v>0</v>
      </c>
      <c r="K306" s="1767">
        <v>0</v>
      </c>
      <c r="L306" s="1767">
        <v>0</v>
      </c>
      <c r="M306" s="1767">
        <v>0</v>
      </c>
      <c r="N306" s="1767">
        <v>0</v>
      </c>
      <c r="O306" s="1767">
        <v>0</v>
      </c>
      <c r="P306" s="1767">
        <v>0</v>
      </c>
      <c r="Q306" s="1767">
        <v>0</v>
      </c>
      <c r="R306" s="1767">
        <v>0</v>
      </c>
      <c r="S306" s="1767">
        <v>0</v>
      </c>
      <c r="T306" s="1767">
        <v>0</v>
      </c>
      <c r="U306" s="1767">
        <v>0</v>
      </c>
      <c r="V306" s="1767">
        <v>0</v>
      </c>
      <c r="W306" s="1767">
        <v>0</v>
      </c>
      <c r="X306" s="1767">
        <v>0</v>
      </c>
      <c r="Y306" s="1767">
        <v>0</v>
      </c>
      <c r="Z306" s="1767">
        <v>0</v>
      </c>
      <c r="AA306" s="1767">
        <v>0</v>
      </c>
      <c r="AB306" s="1767">
        <v>0</v>
      </c>
      <c r="AC306" s="1767">
        <v>0</v>
      </c>
      <c r="AD306" s="1767">
        <v>0</v>
      </c>
      <c r="AE306" s="1767">
        <v>0</v>
      </c>
      <c r="AF306" s="1767">
        <v>0</v>
      </c>
      <c r="AG306" s="1767">
        <v>0</v>
      </c>
      <c r="AH306" s="1767">
        <v>0</v>
      </c>
      <c r="AI306" s="1767">
        <v>0</v>
      </c>
      <c r="AJ306" s="1767">
        <v>0</v>
      </c>
      <c r="AK306" s="1767">
        <v>0</v>
      </c>
      <c r="AL306" s="1767">
        <v>0</v>
      </c>
      <c r="AM306" s="1767">
        <v>0</v>
      </c>
      <c r="AN306" s="1767">
        <v>0</v>
      </c>
      <c r="AO306" s="1767">
        <v>0</v>
      </c>
      <c r="AP306" s="1767">
        <v>0</v>
      </c>
      <c r="AQ306" s="1767">
        <v>0</v>
      </c>
      <c r="AR306" s="1767">
        <v>0</v>
      </c>
      <c r="AS306" s="1767">
        <v>0</v>
      </c>
      <c r="AT306" s="1767">
        <v>0</v>
      </c>
      <c r="AU306" s="1767">
        <v>0</v>
      </c>
      <c r="AV306" s="1767">
        <v>0</v>
      </c>
      <c r="AW306" s="1767">
        <v>0</v>
      </c>
      <c r="AX306" s="1767">
        <v>0</v>
      </c>
      <c r="AY306" s="1767">
        <v>0</v>
      </c>
      <c r="AZ306" s="1767">
        <v>0</v>
      </c>
      <c r="BA306" s="1767">
        <v>0</v>
      </c>
      <c r="BB306" s="1767">
        <v>0</v>
      </c>
      <c r="BC306" s="1767">
        <v>0</v>
      </c>
      <c r="BD306" s="1767">
        <v>0</v>
      </c>
      <c r="BE306" s="1767">
        <v>0</v>
      </c>
      <c r="BF306" s="1767">
        <v>0</v>
      </c>
      <c r="BG306" s="1767">
        <v>0</v>
      </c>
      <c r="BH306" s="1767">
        <v>0</v>
      </c>
      <c r="BI306" s="1767">
        <v>0</v>
      </c>
      <c r="BJ306" s="1767">
        <v>0</v>
      </c>
      <c r="BK306" s="1767">
        <v>0</v>
      </c>
      <c r="BL306" s="1767">
        <v>0</v>
      </c>
      <c r="BM306" s="1767">
        <v>0</v>
      </c>
      <c r="BN306" s="1767">
        <v>0</v>
      </c>
      <c r="BO306" s="1767">
        <v>0</v>
      </c>
      <c r="BP306" s="1767">
        <v>0</v>
      </c>
      <c r="BQ306" s="1767">
        <v>0</v>
      </c>
      <c r="BR306" s="1767">
        <v>0</v>
      </c>
      <c r="BS306" s="1767">
        <v>0</v>
      </c>
      <c r="BT306" s="1767">
        <v>0</v>
      </c>
      <c r="BU306" s="1767">
        <v>0</v>
      </c>
      <c r="BV306" s="1767">
        <v>0</v>
      </c>
      <c r="BW306" s="1767">
        <v>0</v>
      </c>
      <c r="BX306" s="1767">
        <v>0</v>
      </c>
      <c r="BY306" s="1767">
        <v>0</v>
      </c>
      <c r="BZ306" s="1767">
        <v>0</v>
      </c>
      <c r="CA306" s="1767">
        <v>0</v>
      </c>
      <c r="CB306" s="1767">
        <v>0</v>
      </c>
      <c r="CC306" s="1767">
        <v>0</v>
      </c>
      <c r="CD306" s="1767">
        <v>0</v>
      </c>
      <c r="CE306" s="1767">
        <v>0</v>
      </c>
      <c r="CF306" s="1767">
        <v>0</v>
      </c>
      <c r="CG306" s="1767">
        <v>0</v>
      </c>
      <c r="CH306" s="1767">
        <v>0</v>
      </c>
      <c r="CI306" s="1767">
        <v>0</v>
      </c>
      <c r="CJ306" s="1767">
        <v>0</v>
      </c>
      <c r="CK306" s="1767">
        <v>0</v>
      </c>
      <c r="CL306" s="1767">
        <v>0</v>
      </c>
      <c r="CM306" s="1767">
        <v>0</v>
      </c>
      <c r="CN306" s="1767">
        <v>0</v>
      </c>
      <c r="CO306" s="1767">
        <v>0</v>
      </c>
      <c r="CP306" s="1767">
        <v>0</v>
      </c>
    </row>
    <row r="307" spans="1:94" ht="15" customHeight="1" x14ac:dyDescent="0.2">
      <c r="A307" s="1856"/>
      <c r="B307" s="1856"/>
      <c r="C307" s="653" t="s">
        <v>2144</v>
      </c>
      <c r="D307" s="936"/>
      <c r="E307" s="1831"/>
      <c r="F307" s="1225"/>
      <c r="G307" s="1767">
        <v>0</v>
      </c>
      <c r="H307" s="1767">
        <v>0</v>
      </c>
      <c r="I307" s="1767">
        <v>0</v>
      </c>
      <c r="J307" s="1767">
        <v>0</v>
      </c>
      <c r="K307" s="1767">
        <v>0</v>
      </c>
      <c r="L307" s="1767">
        <v>0</v>
      </c>
      <c r="M307" s="1767">
        <v>0</v>
      </c>
      <c r="N307" s="1767">
        <v>0</v>
      </c>
      <c r="O307" s="1767">
        <v>0</v>
      </c>
      <c r="P307" s="1767">
        <v>0</v>
      </c>
      <c r="Q307" s="1767">
        <v>0</v>
      </c>
      <c r="R307" s="1767">
        <v>0</v>
      </c>
      <c r="S307" s="1767">
        <v>0</v>
      </c>
      <c r="T307" s="1767">
        <v>0</v>
      </c>
      <c r="U307" s="1767">
        <v>0</v>
      </c>
      <c r="V307" s="1767">
        <v>0</v>
      </c>
      <c r="W307" s="1767">
        <v>0</v>
      </c>
      <c r="X307" s="1767">
        <v>0</v>
      </c>
      <c r="Y307" s="1767">
        <v>0</v>
      </c>
      <c r="Z307" s="1767">
        <v>0</v>
      </c>
      <c r="AA307" s="1767">
        <v>0</v>
      </c>
      <c r="AB307" s="1767">
        <v>0</v>
      </c>
      <c r="AC307" s="1767">
        <v>0</v>
      </c>
      <c r="AD307" s="1767">
        <v>0</v>
      </c>
      <c r="AE307" s="1767">
        <v>0</v>
      </c>
      <c r="AF307" s="1767">
        <v>0</v>
      </c>
      <c r="AG307" s="1767">
        <v>0</v>
      </c>
      <c r="AH307" s="1767">
        <v>0</v>
      </c>
      <c r="AI307" s="1767">
        <v>0</v>
      </c>
      <c r="AJ307" s="1767">
        <v>0</v>
      </c>
      <c r="AK307" s="1767">
        <v>0</v>
      </c>
      <c r="AL307" s="1767">
        <v>0</v>
      </c>
      <c r="AM307" s="1767">
        <v>0</v>
      </c>
      <c r="AN307" s="1767">
        <v>0</v>
      </c>
      <c r="AO307" s="1767">
        <v>0</v>
      </c>
      <c r="AP307" s="1767">
        <v>0</v>
      </c>
      <c r="AQ307" s="1767">
        <v>0</v>
      </c>
      <c r="AR307" s="1767">
        <v>0</v>
      </c>
      <c r="AS307" s="1767">
        <v>0</v>
      </c>
      <c r="AT307" s="1767">
        <v>0</v>
      </c>
      <c r="AU307" s="1767">
        <v>0</v>
      </c>
      <c r="AV307" s="1767">
        <v>0</v>
      </c>
      <c r="AW307" s="1767">
        <v>0</v>
      </c>
      <c r="AX307" s="1767">
        <v>0</v>
      </c>
      <c r="AY307" s="1767">
        <v>0</v>
      </c>
      <c r="AZ307" s="1767">
        <v>0</v>
      </c>
      <c r="BA307" s="1767">
        <v>0</v>
      </c>
      <c r="BB307" s="1767">
        <v>0</v>
      </c>
      <c r="BC307" s="1767">
        <v>0</v>
      </c>
      <c r="BD307" s="1767">
        <v>0</v>
      </c>
      <c r="BE307" s="1767">
        <v>0</v>
      </c>
      <c r="BF307" s="1767">
        <v>0</v>
      </c>
      <c r="BG307" s="1767">
        <v>0</v>
      </c>
      <c r="BH307" s="1767">
        <v>0</v>
      </c>
      <c r="BI307" s="1767">
        <v>0</v>
      </c>
      <c r="BJ307" s="1767">
        <v>0</v>
      </c>
      <c r="BK307" s="1767">
        <v>0</v>
      </c>
      <c r="BL307" s="1767">
        <v>0</v>
      </c>
      <c r="BM307" s="1767">
        <v>0</v>
      </c>
      <c r="BN307" s="1767">
        <v>0</v>
      </c>
      <c r="BO307" s="1767">
        <v>0</v>
      </c>
      <c r="BP307" s="1767">
        <v>0</v>
      </c>
      <c r="BQ307" s="1767">
        <v>0</v>
      </c>
      <c r="BR307" s="1767">
        <v>0</v>
      </c>
      <c r="BS307" s="1767">
        <v>0</v>
      </c>
      <c r="BT307" s="1767">
        <v>0</v>
      </c>
      <c r="BU307" s="1767">
        <v>0</v>
      </c>
      <c r="BV307" s="1767">
        <v>0</v>
      </c>
      <c r="BW307" s="1767">
        <v>0</v>
      </c>
      <c r="BX307" s="1767">
        <v>0</v>
      </c>
      <c r="BY307" s="1767">
        <v>0</v>
      </c>
      <c r="BZ307" s="1767">
        <v>0</v>
      </c>
      <c r="CA307" s="1767">
        <v>0</v>
      </c>
      <c r="CB307" s="1767">
        <v>0</v>
      </c>
      <c r="CC307" s="1767">
        <v>0</v>
      </c>
      <c r="CD307" s="1767">
        <v>0</v>
      </c>
      <c r="CE307" s="1767">
        <v>0</v>
      </c>
      <c r="CF307" s="1767">
        <v>0</v>
      </c>
      <c r="CG307" s="1767">
        <v>0</v>
      </c>
      <c r="CH307" s="1767">
        <v>0</v>
      </c>
      <c r="CI307" s="1767">
        <v>0</v>
      </c>
      <c r="CJ307" s="1767">
        <v>0</v>
      </c>
      <c r="CK307" s="1767">
        <v>0</v>
      </c>
      <c r="CL307" s="1767">
        <v>0</v>
      </c>
      <c r="CM307" s="1767">
        <v>0</v>
      </c>
      <c r="CN307" s="1767">
        <v>0</v>
      </c>
      <c r="CO307" s="1767">
        <v>0</v>
      </c>
      <c r="CP307" s="1767">
        <v>0</v>
      </c>
    </row>
    <row r="308" spans="1:94" ht="15" customHeight="1" x14ac:dyDescent="0.2">
      <c r="A308" s="1856"/>
      <c r="B308" s="1856"/>
      <c r="C308" s="653" t="s">
        <v>2145</v>
      </c>
      <c r="D308" s="936"/>
      <c r="E308" s="1831"/>
      <c r="F308" s="1225"/>
      <c r="G308" s="1767">
        <v>0</v>
      </c>
      <c r="H308" s="1767">
        <v>0</v>
      </c>
      <c r="I308" s="1767">
        <v>0</v>
      </c>
      <c r="J308" s="1767">
        <v>0</v>
      </c>
      <c r="K308" s="1767">
        <v>0</v>
      </c>
      <c r="L308" s="1767">
        <v>0</v>
      </c>
      <c r="M308" s="1767">
        <v>0</v>
      </c>
      <c r="N308" s="1767">
        <v>0</v>
      </c>
      <c r="O308" s="1767">
        <v>0</v>
      </c>
      <c r="P308" s="1767">
        <v>0</v>
      </c>
      <c r="Q308" s="1767">
        <v>0</v>
      </c>
      <c r="R308" s="1767">
        <v>0</v>
      </c>
      <c r="S308" s="1767">
        <v>0</v>
      </c>
      <c r="T308" s="1767">
        <v>0</v>
      </c>
      <c r="U308" s="1767">
        <v>0</v>
      </c>
      <c r="V308" s="1767">
        <v>0</v>
      </c>
      <c r="W308" s="1767">
        <v>0</v>
      </c>
      <c r="X308" s="1767">
        <v>0</v>
      </c>
      <c r="Y308" s="1767">
        <v>0</v>
      </c>
      <c r="Z308" s="1767">
        <v>0</v>
      </c>
      <c r="AA308" s="1767">
        <v>0</v>
      </c>
      <c r="AB308" s="1767">
        <v>0</v>
      </c>
      <c r="AC308" s="1767">
        <v>0</v>
      </c>
      <c r="AD308" s="1767">
        <v>0</v>
      </c>
      <c r="AE308" s="1767">
        <v>0</v>
      </c>
      <c r="AF308" s="1767">
        <v>0</v>
      </c>
      <c r="AG308" s="1767">
        <v>0</v>
      </c>
      <c r="AH308" s="1767">
        <v>0</v>
      </c>
      <c r="AI308" s="1767">
        <v>0</v>
      </c>
      <c r="AJ308" s="1767">
        <v>0</v>
      </c>
      <c r="AK308" s="1767">
        <v>0</v>
      </c>
      <c r="AL308" s="1767">
        <v>0</v>
      </c>
      <c r="AM308" s="1767">
        <v>0</v>
      </c>
      <c r="AN308" s="1767">
        <v>0</v>
      </c>
      <c r="AO308" s="1767">
        <v>0</v>
      </c>
      <c r="AP308" s="1767">
        <v>0</v>
      </c>
      <c r="AQ308" s="1767">
        <v>0</v>
      </c>
      <c r="AR308" s="1767">
        <v>0</v>
      </c>
      <c r="AS308" s="1767">
        <v>0</v>
      </c>
      <c r="AT308" s="1767">
        <v>0</v>
      </c>
      <c r="AU308" s="1767">
        <v>0</v>
      </c>
      <c r="AV308" s="1767">
        <v>0</v>
      </c>
      <c r="AW308" s="1767">
        <v>0</v>
      </c>
      <c r="AX308" s="1767">
        <v>0</v>
      </c>
      <c r="AY308" s="1767">
        <v>0</v>
      </c>
      <c r="AZ308" s="1767">
        <v>0</v>
      </c>
      <c r="BA308" s="1767">
        <v>0</v>
      </c>
      <c r="BB308" s="1767">
        <v>0</v>
      </c>
      <c r="BC308" s="1767">
        <v>0</v>
      </c>
      <c r="BD308" s="1767">
        <v>0</v>
      </c>
      <c r="BE308" s="1767">
        <v>0</v>
      </c>
      <c r="BF308" s="1767">
        <v>0</v>
      </c>
      <c r="BG308" s="1767">
        <v>0</v>
      </c>
      <c r="BH308" s="1767">
        <v>0</v>
      </c>
      <c r="BI308" s="1767">
        <v>0</v>
      </c>
      <c r="BJ308" s="1767">
        <v>0</v>
      </c>
      <c r="BK308" s="1767">
        <v>0</v>
      </c>
      <c r="BL308" s="1767">
        <v>0</v>
      </c>
      <c r="BM308" s="1767">
        <v>0</v>
      </c>
      <c r="BN308" s="1767">
        <v>0</v>
      </c>
      <c r="BO308" s="1767">
        <v>0</v>
      </c>
      <c r="BP308" s="1767">
        <v>0</v>
      </c>
      <c r="BQ308" s="1767">
        <v>0</v>
      </c>
      <c r="BR308" s="1767">
        <v>0</v>
      </c>
      <c r="BS308" s="1767">
        <v>0</v>
      </c>
      <c r="BT308" s="1767">
        <v>0</v>
      </c>
      <c r="BU308" s="1767">
        <v>0</v>
      </c>
      <c r="BV308" s="1767">
        <v>0</v>
      </c>
      <c r="BW308" s="1767">
        <v>0</v>
      </c>
      <c r="BX308" s="1767">
        <v>0</v>
      </c>
      <c r="BY308" s="1767">
        <v>0</v>
      </c>
      <c r="BZ308" s="1767">
        <v>0</v>
      </c>
      <c r="CA308" s="1767">
        <v>0</v>
      </c>
      <c r="CB308" s="1767">
        <v>0</v>
      </c>
      <c r="CC308" s="1767">
        <v>0</v>
      </c>
      <c r="CD308" s="1767">
        <v>0</v>
      </c>
      <c r="CE308" s="1767">
        <v>0</v>
      </c>
      <c r="CF308" s="1767">
        <v>0</v>
      </c>
      <c r="CG308" s="1767">
        <v>0</v>
      </c>
      <c r="CH308" s="1767">
        <v>0</v>
      </c>
      <c r="CI308" s="1767">
        <v>0</v>
      </c>
      <c r="CJ308" s="1767">
        <v>0</v>
      </c>
      <c r="CK308" s="1767">
        <v>0</v>
      </c>
      <c r="CL308" s="1767">
        <v>0</v>
      </c>
      <c r="CM308" s="1767">
        <v>0</v>
      </c>
      <c r="CN308" s="1767">
        <v>0</v>
      </c>
      <c r="CO308" s="1767">
        <v>0</v>
      </c>
      <c r="CP308" s="1767">
        <v>0</v>
      </c>
    </row>
    <row r="309" spans="1:94" ht="15" customHeight="1" x14ac:dyDescent="0.2">
      <c r="A309" s="1856"/>
      <c r="B309" s="1856"/>
      <c r="C309" s="653" t="s">
        <v>2146</v>
      </c>
      <c r="D309" s="936"/>
      <c r="E309" s="1831"/>
      <c r="F309" s="1225"/>
      <c r="G309" s="1767">
        <v>0</v>
      </c>
      <c r="H309" s="1767">
        <v>0</v>
      </c>
      <c r="I309" s="1767">
        <v>0</v>
      </c>
      <c r="J309" s="1767">
        <v>0</v>
      </c>
      <c r="K309" s="1767">
        <v>0</v>
      </c>
      <c r="L309" s="1767">
        <v>0</v>
      </c>
      <c r="M309" s="1767">
        <v>0</v>
      </c>
      <c r="N309" s="1767">
        <v>0</v>
      </c>
      <c r="O309" s="1767">
        <v>0</v>
      </c>
      <c r="P309" s="1767">
        <v>0</v>
      </c>
      <c r="Q309" s="1767">
        <v>0</v>
      </c>
      <c r="R309" s="1767">
        <v>0</v>
      </c>
      <c r="S309" s="1767">
        <v>0</v>
      </c>
      <c r="T309" s="1767">
        <v>0</v>
      </c>
      <c r="U309" s="1767">
        <v>0</v>
      </c>
      <c r="V309" s="1767">
        <v>0</v>
      </c>
      <c r="W309" s="1767">
        <v>0</v>
      </c>
      <c r="X309" s="1767">
        <v>0</v>
      </c>
      <c r="Y309" s="1767">
        <v>0</v>
      </c>
      <c r="Z309" s="1767">
        <v>0</v>
      </c>
      <c r="AA309" s="1767">
        <v>0</v>
      </c>
      <c r="AB309" s="1767">
        <v>0</v>
      </c>
      <c r="AC309" s="1767">
        <v>0</v>
      </c>
      <c r="AD309" s="1767">
        <v>0</v>
      </c>
      <c r="AE309" s="1767">
        <v>0</v>
      </c>
      <c r="AF309" s="1767">
        <v>0</v>
      </c>
      <c r="AG309" s="1767">
        <v>0</v>
      </c>
      <c r="AH309" s="1767">
        <v>0</v>
      </c>
      <c r="AI309" s="1767">
        <v>0</v>
      </c>
      <c r="AJ309" s="1767">
        <v>0</v>
      </c>
      <c r="AK309" s="1767">
        <v>0</v>
      </c>
      <c r="AL309" s="1767">
        <v>0</v>
      </c>
      <c r="AM309" s="1767">
        <v>0</v>
      </c>
      <c r="AN309" s="1767">
        <v>0</v>
      </c>
      <c r="AO309" s="1767">
        <v>0</v>
      </c>
      <c r="AP309" s="1767">
        <v>0</v>
      </c>
      <c r="AQ309" s="1767">
        <v>0</v>
      </c>
      <c r="AR309" s="1767">
        <v>0</v>
      </c>
      <c r="AS309" s="1767">
        <v>0</v>
      </c>
      <c r="AT309" s="1767">
        <v>0</v>
      </c>
      <c r="AU309" s="1767">
        <v>0</v>
      </c>
      <c r="AV309" s="1767">
        <v>0</v>
      </c>
      <c r="AW309" s="1767">
        <v>0</v>
      </c>
      <c r="AX309" s="1767">
        <v>0</v>
      </c>
      <c r="AY309" s="1767">
        <v>0</v>
      </c>
      <c r="AZ309" s="1767">
        <v>0</v>
      </c>
      <c r="BA309" s="1767">
        <v>0</v>
      </c>
      <c r="BB309" s="1767">
        <v>0</v>
      </c>
      <c r="BC309" s="1767">
        <v>0</v>
      </c>
      <c r="BD309" s="1767">
        <v>0</v>
      </c>
      <c r="BE309" s="1767">
        <v>0</v>
      </c>
      <c r="BF309" s="1767">
        <v>0</v>
      </c>
      <c r="BG309" s="1767">
        <v>0</v>
      </c>
      <c r="BH309" s="1767">
        <v>0</v>
      </c>
      <c r="BI309" s="1767">
        <v>0</v>
      </c>
      <c r="BJ309" s="1767">
        <v>0</v>
      </c>
      <c r="BK309" s="1767">
        <v>0</v>
      </c>
      <c r="BL309" s="1767">
        <v>0</v>
      </c>
      <c r="BM309" s="1767">
        <v>0</v>
      </c>
      <c r="BN309" s="1767">
        <v>0</v>
      </c>
      <c r="BO309" s="1767">
        <v>0</v>
      </c>
      <c r="BP309" s="1767">
        <v>0</v>
      </c>
      <c r="BQ309" s="1767">
        <v>0</v>
      </c>
      <c r="BR309" s="1767">
        <v>0</v>
      </c>
      <c r="BS309" s="1767">
        <v>0</v>
      </c>
      <c r="BT309" s="1767">
        <v>0</v>
      </c>
      <c r="BU309" s="1767">
        <v>0</v>
      </c>
      <c r="BV309" s="1767">
        <v>0</v>
      </c>
      <c r="BW309" s="1767">
        <v>0</v>
      </c>
      <c r="BX309" s="1767">
        <v>0</v>
      </c>
      <c r="BY309" s="1767">
        <v>0</v>
      </c>
      <c r="BZ309" s="1767">
        <v>0</v>
      </c>
      <c r="CA309" s="1767">
        <v>0</v>
      </c>
      <c r="CB309" s="1767">
        <v>0</v>
      </c>
      <c r="CC309" s="1767">
        <v>0</v>
      </c>
      <c r="CD309" s="1767">
        <v>0</v>
      </c>
      <c r="CE309" s="1767">
        <v>0</v>
      </c>
      <c r="CF309" s="1767">
        <v>0</v>
      </c>
      <c r="CG309" s="1767">
        <v>0</v>
      </c>
      <c r="CH309" s="1767">
        <v>0</v>
      </c>
      <c r="CI309" s="1767">
        <v>0</v>
      </c>
      <c r="CJ309" s="1767">
        <v>0</v>
      </c>
      <c r="CK309" s="1767">
        <v>0</v>
      </c>
      <c r="CL309" s="1767">
        <v>0</v>
      </c>
      <c r="CM309" s="1767">
        <v>0</v>
      </c>
      <c r="CN309" s="1767">
        <v>0</v>
      </c>
      <c r="CO309" s="1767">
        <v>0</v>
      </c>
      <c r="CP309" s="1767">
        <v>0</v>
      </c>
    </row>
    <row r="310" spans="1:94" ht="15" customHeight="1" thickBot="1" x14ac:dyDescent="0.25">
      <c r="A310" s="1856"/>
      <c r="B310" s="1856"/>
      <c r="C310" s="800" t="s">
        <v>2147</v>
      </c>
      <c r="D310" s="949"/>
      <c r="E310" s="1831"/>
      <c r="F310" s="1225"/>
      <c r="G310" s="1767">
        <v>0</v>
      </c>
      <c r="H310" s="1767">
        <v>0</v>
      </c>
      <c r="I310" s="1767">
        <v>0</v>
      </c>
      <c r="J310" s="1767">
        <v>0</v>
      </c>
      <c r="K310" s="1767">
        <v>0</v>
      </c>
      <c r="L310" s="1767">
        <v>0</v>
      </c>
      <c r="M310" s="1767">
        <v>0</v>
      </c>
      <c r="N310" s="1767">
        <v>0</v>
      </c>
      <c r="O310" s="1767">
        <v>0</v>
      </c>
      <c r="P310" s="1767">
        <v>0</v>
      </c>
      <c r="Q310" s="1767">
        <v>0</v>
      </c>
      <c r="R310" s="1767">
        <v>0</v>
      </c>
      <c r="S310" s="1767">
        <v>0</v>
      </c>
      <c r="T310" s="1767">
        <v>0</v>
      </c>
      <c r="U310" s="1767">
        <v>0</v>
      </c>
      <c r="V310" s="1767">
        <v>0</v>
      </c>
      <c r="W310" s="1767">
        <v>0</v>
      </c>
      <c r="X310" s="1767">
        <v>0</v>
      </c>
      <c r="Y310" s="1767">
        <v>0</v>
      </c>
      <c r="Z310" s="1767">
        <v>0</v>
      </c>
      <c r="AA310" s="1767">
        <v>0</v>
      </c>
      <c r="AB310" s="1767">
        <v>0</v>
      </c>
      <c r="AC310" s="1767">
        <v>0</v>
      </c>
      <c r="AD310" s="1767">
        <v>0</v>
      </c>
      <c r="AE310" s="1767">
        <v>0</v>
      </c>
      <c r="AF310" s="1767">
        <v>0</v>
      </c>
      <c r="AG310" s="1767">
        <v>0</v>
      </c>
      <c r="AH310" s="1767">
        <v>0</v>
      </c>
      <c r="AI310" s="1767">
        <v>0</v>
      </c>
      <c r="AJ310" s="1767">
        <v>0</v>
      </c>
      <c r="AK310" s="1767">
        <v>0</v>
      </c>
      <c r="AL310" s="1767">
        <v>0</v>
      </c>
      <c r="AM310" s="1767">
        <v>0</v>
      </c>
      <c r="AN310" s="1767">
        <v>0</v>
      </c>
      <c r="AO310" s="1767">
        <v>0</v>
      </c>
      <c r="AP310" s="1767">
        <v>0</v>
      </c>
      <c r="AQ310" s="1767">
        <v>0</v>
      </c>
      <c r="AR310" s="1767">
        <v>0</v>
      </c>
      <c r="AS310" s="1767">
        <v>0</v>
      </c>
      <c r="AT310" s="1767">
        <v>0</v>
      </c>
      <c r="AU310" s="1767">
        <v>0</v>
      </c>
      <c r="AV310" s="1767">
        <v>0</v>
      </c>
      <c r="AW310" s="1767">
        <v>0</v>
      </c>
      <c r="AX310" s="1767">
        <v>0</v>
      </c>
      <c r="AY310" s="1767">
        <v>0</v>
      </c>
      <c r="AZ310" s="1767">
        <v>0</v>
      </c>
      <c r="BA310" s="1767">
        <v>0</v>
      </c>
      <c r="BB310" s="1767">
        <v>0</v>
      </c>
      <c r="BC310" s="1767">
        <v>0</v>
      </c>
      <c r="BD310" s="1767">
        <v>0</v>
      </c>
      <c r="BE310" s="1767">
        <v>0</v>
      </c>
      <c r="BF310" s="1767">
        <v>0</v>
      </c>
      <c r="BG310" s="1767">
        <v>0</v>
      </c>
      <c r="BH310" s="1767">
        <v>0</v>
      </c>
      <c r="BI310" s="1767">
        <v>0</v>
      </c>
      <c r="BJ310" s="1767">
        <v>0</v>
      </c>
      <c r="BK310" s="1767">
        <v>0</v>
      </c>
      <c r="BL310" s="1767">
        <v>0</v>
      </c>
      <c r="BM310" s="1767">
        <v>0</v>
      </c>
      <c r="BN310" s="1767">
        <v>0</v>
      </c>
      <c r="BO310" s="1767">
        <v>0</v>
      </c>
      <c r="BP310" s="1767">
        <v>0</v>
      </c>
      <c r="BQ310" s="1767">
        <v>0</v>
      </c>
      <c r="BR310" s="1767">
        <v>0</v>
      </c>
      <c r="BS310" s="1767">
        <v>0</v>
      </c>
      <c r="BT310" s="1767">
        <v>0</v>
      </c>
      <c r="BU310" s="1767">
        <v>0</v>
      </c>
      <c r="BV310" s="1767">
        <v>0</v>
      </c>
      <c r="BW310" s="1767">
        <v>0</v>
      </c>
      <c r="BX310" s="1767">
        <v>0</v>
      </c>
      <c r="BY310" s="1767">
        <v>0</v>
      </c>
      <c r="BZ310" s="1767">
        <v>0</v>
      </c>
      <c r="CA310" s="1767">
        <v>0</v>
      </c>
      <c r="CB310" s="1767">
        <v>0</v>
      </c>
      <c r="CC310" s="1767">
        <v>0</v>
      </c>
      <c r="CD310" s="1767">
        <v>0</v>
      </c>
      <c r="CE310" s="1767">
        <v>0</v>
      </c>
      <c r="CF310" s="1767">
        <v>0</v>
      </c>
      <c r="CG310" s="1767">
        <v>0</v>
      </c>
      <c r="CH310" s="1767">
        <v>0</v>
      </c>
      <c r="CI310" s="1767">
        <v>0</v>
      </c>
      <c r="CJ310" s="1767">
        <v>0</v>
      </c>
      <c r="CK310" s="1767">
        <v>0</v>
      </c>
      <c r="CL310" s="1767">
        <v>0</v>
      </c>
      <c r="CM310" s="1767">
        <v>0</v>
      </c>
      <c r="CN310" s="1767">
        <v>0</v>
      </c>
      <c r="CO310" s="1767">
        <v>0</v>
      </c>
      <c r="CP310" s="1767">
        <v>0</v>
      </c>
    </row>
    <row r="311" spans="1:94" ht="21" customHeight="1" thickBot="1" x14ac:dyDescent="0.25">
      <c r="A311" s="1849" t="s">
        <v>37</v>
      </c>
      <c r="B311" s="1846" t="s">
        <v>14</v>
      </c>
      <c r="C311" s="1789" t="s">
        <v>613</v>
      </c>
      <c r="D311" s="974"/>
      <c r="E311" s="1830" t="s">
        <v>2065</v>
      </c>
      <c r="F311" s="1225"/>
      <c r="G311" s="1742"/>
      <c r="H311" s="1742"/>
      <c r="I311" s="1742"/>
      <c r="J311" s="1742"/>
      <c r="K311" s="1742"/>
      <c r="L311" s="1742"/>
      <c r="M311" s="1742"/>
      <c r="N311" s="1742"/>
      <c r="O311" s="1742"/>
      <c r="P311" s="1742"/>
      <c r="Q311" s="1742"/>
      <c r="R311" s="1742"/>
      <c r="S311" s="1742"/>
      <c r="T311" s="1742"/>
      <c r="U311" s="1742"/>
      <c r="V311" s="1742"/>
      <c r="W311" s="1742"/>
      <c r="X311" s="1742"/>
      <c r="Y311" s="1742"/>
      <c r="Z311" s="1742"/>
      <c r="AA311" s="1742"/>
      <c r="AB311" s="1742"/>
      <c r="AC311" s="1742"/>
      <c r="AD311" s="1742"/>
      <c r="AE311" s="1742"/>
      <c r="AF311" s="1742"/>
      <c r="AG311" s="1742"/>
      <c r="AH311" s="1742"/>
      <c r="AI311" s="1742"/>
      <c r="AJ311" s="1742"/>
      <c r="AK311" s="1742"/>
      <c r="AL311" s="1742"/>
      <c r="AM311" s="1742"/>
      <c r="AN311" s="1742"/>
      <c r="AO311" s="1742"/>
      <c r="AP311" s="1742"/>
      <c r="AQ311" s="1742"/>
      <c r="AR311" s="1742"/>
      <c r="AS311" s="1742"/>
      <c r="AT311" s="1742"/>
      <c r="AU311" s="1742"/>
      <c r="AV311" s="1742"/>
      <c r="AW311" s="1742"/>
      <c r="AX311" s="1742"/>
      <c r="AY311" s="1742"/>
      <c r="AZ311" s="1742"/>
      <c r="BA311" s="1742"/>
      <c r="BB311" s="1742"/>
      <c r="BC311" s="1742"/>
      <c r="BD311" s="1742"/>
      <c r="BE311" s="1742"/>
      <c r="BF311" s="1742"/>
      <c r="BG311" s="1742"/>
      <c r="BH311" s="1742"/>
      <c r="BI311" s="1742"/>
      <c r="BJ311" s="1742"/>
      <c r="BK311" s="1742"/>
      <c r="BL311" s="1742"/>
      <c r="BM311" s="1742"/>
      <c r="BN311" s="1742"/>
      <c r="BO311" s="1742"/>
      <c r="BP311" s="1742"/>
      <c r="BQ311" s="1742"/>
      <c r="BR311" s="1742"/>
      <c r="BS311" s="1742"/>
      <c r="BT311" s="1742"/>
      <c r="BU311" s="1742"/>
      <c r="BV311" s="1742"/>
      <c r="BW311" s="1742"/>
      <c r="BX311" s="1742"/>
      <c r="BY311" s="1742"/>
      <c r="BZ311" s="1742"/>
      <c r="CA311" s="1742"/>
      <c r="CB311" s="1742"/>
      <c r="CC311" s="1742"/>
      <c r="CD311" s="1742"/>
      <c r="CE311" s="1742"/>
      <c r="CF311" s="1742"/>
      <c r="CG311" s="1742"/>
      <c r="CH311" s="1742"/>
      <c r="CI311" s="1742"/>
      <c r="CJ311" s="1742"/>
      <c r="CK311" s="1742"/>
      <c r="CL311" s="1742"/>
      <c r="CM311" s="1742"/>
      <c r="CN311" s="1742"/>
      <c r="CO311" s="1742"/>
      <c r="CP311" s="1742"/>
    </row>
    <row r="312" spans="1:94" ht="15" customHeight="1" x14ac:dyDescent="0.2">
      <c r="A312" s="1847"/>
      <c r="B312" s="1856"/>
      <c r="C312" s="660" t="s">
        <v>1759</v>
      </c>
      <c r="D312" s="936"/>
      <c r="E312" s="1862"/>
      <c r="F312" s="1225"/>
      <c r="G312" s="1767">
        <v>0</v>
      </c>
      <c r="H312" s="1767">
        <v>0</v>
      </c>
      <c r="I312" s="1767">
        <v>0</v>
      </c>
      <c r="J312" s="1767">
        <v>0</v>
      </c>
      <c r="K312" s="1767">
        <v>0</v>
      </c>
      <c r="L312" s="1767">
        <v>0</v>
      </c>
      <c r="M312" s="1767">
        <v>0</v>
      </c>
      <c r="N312" s="1767">
        <v>0</v>
      </c>
      <c r="O312" s="1767">
        <v>0</v>
      </c>
      <c r="P312" s="1767">
        <v>0</v>
      </c>
      <c r="Q312" s="1767">
        <v>0</v>
      </c>
      <c r="R312" s="1767">
        <v>0</v>
      </c>
      <c r="S312" s="1767">
        <v>0</v>
      </c>
      <c r="T312" s="1767">
        <v>0</v>
      </c>
      <c r="U312" s="1767">
        <v>0</v>
      </c>
      <c r="V312" s="1767">
        <v>0</v>
      </c>
      <c r="W312" s="1767">
        <v>0</v>
      </c>
      <c r="X312" s="1767">
        <v>0</v>
      </c>
      <c r="Y312" s="1767">
        <v>0</v>
      </c>
      <c r="Z312" s="1767">
        <v>0</v>
      </c>
      <c r="AA312" s="1767">
        <v>0</v>
      </c>
      <c r="AB312" s="1767">
        <v>0</v>
      </c>
      <c r="AC312" s="1767">
        <v>0</v>
      </c>
      <c r="AD312" s="1767">
        <v>0</v>
      </c>
      <c r="AE312" s="1767">
        <v>0</v>
      </c>
      <c r="AF312" s="1767">
        <v>0</v>
      </c>
      <c r="AG312" s="1767">
        <v>0</v>
      </c>
      <c r="AH312" s="1767">
        <v>0</v>
      </c>
      <c r="AI312" s="1767">
        <v>0</v>
      </c>
      <c r="AJ312" s="1767">
        <v>0</v>
      </c>
      <c r="AK312" s="1767">
        <v>0</v>
      </c>
      <c r="AL312" s="1767">
        <v>0</v>
      </c>
      <c r="AM312" s="1767">
        <v>0</v>
      </c>
      <c r="AN312" s="1767">
        <v>0</v>
      </c>
      <c r="AO312" s="1767">
        <v>0</v>
      </c>
      <c r="AP312" s="1767">
        <v>0</v>
      </c>
      <c r="AQ312" s="1767">
        <v>0</v>
      </c>
      <c r="AR312" s="1767">
        <v>0</v>
      </c>
      <c r="AS312" s="1767">
        <v>0</v>
      </c>
      <c r="AT312" s="1767">
        <v>0</v>
      </c>
      <c r="AU312" s="1767">
        <v>0</v>
      </c>
      <c r="AV312" s="1767">
        <v>0</v>
      </c>
      <c r="AW312" s="1767">
        <v>0</v>
      </c>
      <c r="AX312" s="1767">
        <v>0</v>
      </c>
      <c r="AY312" s="1767">
        <v>0</v>
      </c>
      <c r="AZ312" s="1767">
        <v>0</v>
      </c>
      <c r="BA312" s="1767">
        <v>0</v>
      </c>
      <c r="BB312" s="1767">
        <v>0</v>
      </c>
      <c r="BC312" s="1767">
        <v>0</v>
      </c>
      <c r="BD312" s="1767">
        <v>0</v>
      </c>
      <c r="BE312" s="1767">
        <v>0</v>
      </c>
      <c r="BF312" s="1767">
        <v>0</v>
      </c>
      <c r="BG312" s="1767">
        <v>0</v>
      </c>
      <c r="BH312" s="1767">
        <v>0</v>
      </c>
      <c r="BI312" s="1767">
        <v>0</v>
      </c>
      <c r="BJ312" s="1767">
        <v>0</v>
      </c>
      <c r="BK312" s="1767">
        <v>0</v>
      </c>
      <c r="BL312" s="1767">
        <v>0</v>
      </c>
      <c r="BM312" s="1767">
        <v>0</v>
      </c>
      <c r="BN312" s="1767">
        <v>0</v>
      </c>
      <c r="BO312" s="1767">
        <v>0</v>
      </c>
      <c r="BP312" s="1767">
        <v>0</v>
      </c>
      <c r="BQ312" s="1767">
        <v>0</v>
      </c>
      <c r="BR312" s="1767">
        <v>0</v>
      </c>
      <c r="BS312" s="1767">
        <v>0</v>
      </c>
      <c r="BT312" s="1767">
        <v>0</v>
      </c>
      <c r="BU312" s="1767">
        <v>0</v>
      </c>
      <c r="BV312" s="1767">
        <v>0</v>
      </c>
      <c r="BW312" s="1767">
        <v>0</v>
      </c>
      <c r="BX312" s="1767">
        <v>0</v>
      </c>
      <c r="BY312" s="1767">
        <v>0</v>
      </c>
      <c r="BZ312" s="1767">
        <v>0</v>
      </c>
      <c r="CA312" s="1767">
        <v>0</v>
      </c>
      <c r="CB312" s="1767">
        <v>0</v>
      </c>
      <c r="CC312" s="1767">
        <v>0</v>
      </c>
      <c r="CD312" s="1767">
        <v>0</v>
      </c>
      <c r="CE312" s="1767">
        <v>0</v>
      </c>
      <c r="CF312" s="1767">
        <v>0</v>
      </c>
      <c r="CG312" s="1767">
        <v>0</v>
      </c>
      <c r="CH312" s="1767">
        <v>0</v>
      </c>
      <c r="CI312" s="1767">
        <v>0</v>
      </c>
      <c r="CJ312" s="1767">
        <v>0</v>
      </c>
      <c r="CK312" s="1767">
        <v>0</v>
      </c>
      <c r="CL312" s="1767">
        <v>0</v>
      </c>
      <c r="CM312" s="1767">
        <v>0</v>
      </c>
      <c r="CN312" s="1767">
        <v>0</v>
      </c>
      <c r="CO312" s="1767">
        <v>0</v>
      </c>
      <c r="CP312" s="1767">
        <v>0</v>
      </c>
    </row>
    <row r="313" spans="1:94" ht="15" customHeight="1" x14ac:dyDescent="0.2">
      <c r="A313" s="1847"/>
      <c r="B313" s="1856"/>
      <c r="C313" s="653" t="s">
        <v>615</v>
      </c>
      <c r="D313" s="936"/>
      <c r="E313" s="1862"/>
      <c r="F313" s="1225"/>
      <c r="G313" s="1767">
        <v>0</v>
      </c>
      <c r="H313" s="1767">
        <v>0</v>
      </c>
      <c r="I313" s="1767">
        <v>0</v>
      </c>
      <c r="J313" s="1767">
        <v>0</v>
      </c>
      <c r="K313" s="1767">
        <v>0</v>
      </c>
      <c r="L313" s="1767">
        <v>0</v>
      </c>
      <c r="M313" s="1767">
        <v>0</v>
      </c>
      <c r="N313" s="1767">
        <v>0</v>
      </c>
      <c r="O313" s="1767">
        <v>0</v>
      </c>
      <c r="P313" s="1767">
        <v>0</v>
      </c>
      <c r="Q313" s="1767">
        <v>0</v>
      </c>
      <c r="R313" s="1767">
        <v>0</v>
      </c>
      <c r="S313" s="1767">
        <v>0</v>
      </c>
      <c r="T313" s="1767">
        <v>0</v>
      </c>
      <c r="U313" s="1767">
        <v>0</v>
      </c>
      <c r="V313" s="1767">
        <v>0</v>
      </c>
      <c r="W313" s="1767">
        <v>0</v>
      </c>
      <c r="X313" s="1767">
        <v>0</v>
      </c>
      <c r="Y313" s="1767">
        <v>0</v>
      </c>
      <c r="Z313" s="1767">
        <v>0</v>
      </c>
      <c r="AA313" s="1767">
        <v>0</v>
      </c>
      <c r="AB313" s="1767">
        <v>0</v>
      </c>
      <c r="AC313" s="1767">
        <v>0</v>
      </c>
      <c r="AD313" s="1767">
        <v>0</v>
      </c>
      <c r="AE313" s="1767">
        <v>0</v>
      </c>
      <c r="AF313" s="1767">
        <v>0</v>
      </c>
      <c r="AG313" s="1767">
        <v>0</v>
      </c>
      <c r="AH313" s="1767">
        <v>0</v>
      </c>
      <c r="AI313" s="1767">
        <v>0</v>
      </c>
      <c r="AJ313" s="1767">
        <v>0</v>
      </c>
      <c r="AK313" s="1767">
        <v>0</v>
      </c>
      <c r="AL313" s="1767">
        <v>0</v>
      </c>
      <c r="AM313" s="1767">
        <v>0</v>
      </c>
      <c r="AN313" s="1767">
        <v>0</v>
      </c>
      <c r="AO313" s="1767">
        <v>0</v>
      </c>
      <c r="AP313" s="1767">
        <v>0</v>
      </c>
      <c r="AQ313" s="1767">
        <v>0</v>
      </c>
      <c r="AR313" s="1767">
        <v>0</v>
      </c>
      <c r="AS313" s="1767">
        <v>0</v>
      </c>
      <c r="AT313" s="1767">
        <v>0</v>
      </c>
      <c r="AU313" s="1767">
        <v>0</v>
      </c>
      <c r="AV313" s="1767">
        <v>0</v>
      </c>
      <c r="AW313" s="1767">
        <v>0</v>
      </c>
      <c r="AX313" s="1767">
        <v>0</v>
      </c>
      <c r="AY313" s="1767">
        <v>0</v>
      </c>
      <c r="AZ313" s="1767">
        <v>0</v>
      </c>
      <c r="BA313" s="1767">
        <v>0</v>
      </c>
      <c r="BB313" s="1767">
        <v>0</v>
      </c>
      <c r="BC313" s="1767">
        <v>0</v>
      </c>
      <c r="BD313" s="1767">
        <v>0</v>
      </c>
      <c r="BE313" s="1767">
        <v>0</v>
      </c>
      <c r="BF313" s="1767">
        <v>0</v>
      </c>
      <c r="BG313" s="1767">
        <v>0</v>
      </c>
      <c r="BH313" s="1767">
        <v>0</v>
      </c>
      <c r="BI313" s="1767">
        <v>0</v>
      </c>
      <c r="BJ313" s="1767">
        <v>0</v>
      </c>
      <c r="BK313" s="1767">
        <v>0</v>
      </c>
      <c r="BL313" s="1767">
        <v>0</v>
      </c>
      <c r="BM313" s="1767">
        <v>0</v>
      </c>
      <c r="BN313" s="1767">
        <v>0</v>
      </c>
      <c r="BO313" s="1767">
        <v>0</v>
      </c>
      <c r="BP313" s="1767">
        <v>0</v>
      </c>
      <c r="BQ313" s="1767">
        <v>0</v>
      </c>
      <c r="BR313" s="1767">
        <v>0</v>
      </c>
      <c r="BS313" s="1767">
        <v>0</v>
      </c>
      <c r="BT313" s="1767">
        <v>0</v>
      </c>
      <c r="BU313" s="1767">
        <v>0</v>
      </c>
      <c r="BV313" s="1767">
        <v>0</v>
      </c>
      <c r="BW313" s="1767">
        <v>0</v>
      </c>
      <c r="BX313" s="1767">
        <v>0</v>
      </c>
      <c r="BY313" s="1767">
        <v>0</v>
      </c>
      <c r="BZ313" s="1767">
        <v>0</v>
      </c>
      <c r="CA313" s="1767">
        <v>0</v>
      </c>
      <c r="CB313" s="1767">
        <v>0</v>
      </c>
      <c r="CC313" s="1767">
        <v>0</v>
      </c>
      <c r="CD313" s="1767">
        <v>0</v>
      </c>
      <c r="CE313" s="1767">
        <v>0</v>
      </c>
      <c r="CF313" s="1767">
        <v>0</v>
      </c>
      <c r="CG313" s="1767">
        <v>0</v>
      </c>
      <c r="CH313" s="1767">
        <v>0</v>
      </c>
      <c r="CI313" s="1767">
        <v>0</v>
      </c>
      <c r="CJ313" s="1767">
        <v>0</v>
      </c>
      <c r="CK313" s="1767">
        <v>0</v>
      </c>
      <c r="CL313" s="1767">
        <v>0</v>
      </c>
      <c r="CM313" s="1767">
        <v>0</v>
      </c>
      <c r="CN313" s="1767">
        <v>0</v>
      </c>
      <c r="CO313" s="1767">
        <v>0</v>
      </c>
      <c r="CP313" s="1767">
        <v>0</v>
      </c>
    </row>
    <row r="314" spans="1:94" ht="15" customHeight="1" thickBot="1" x14ac:dyDescent="0.25">
      <c r="A314" s="1848"/>
      <c r="B314" s="1857"/>
      <c r="C314" s="654" t="s">
        <v>616</v>
      </c>
      <c r="D314" s="950"/>
      <c r="E314" s="1863"/>
      <c r="F314" s="1225"/>
      <c r="G314" s="1767">
        <v>0</v>
      </c>
      <c r="H314" s="1767">
        <v>0</v>
      </c>
      <c r="I314" s="1767">
        <v>0</v>
      </c>
      <c r="J314" s="1767">
        <v>0</v>
      </c>
      <c r="K314" s="1767">
        <v>0</v>
      </c>
      <c r="L314" s="1767">
        <v>0</v>
      </c>
      <c r="M314" s="1767">
        <v>0</v>
      </c>
      <c r="N314" s="1767">
        <v>0</v>
      </c>
      <c r="O314" s="1767">
        <v>0</v>
      </c>
      <c r="P314" s="1767">
        <v>0</v>
      </c>
      <c r="Q314" s="1767">
        <v>0</v>
      </c>
      <c r="R314" s="1767">
        <v>0</v>
      </c>
      <c r="S314" s="1767">
        <v>0</v>
      </c>
      <c r="T314" s="1767">
        <v>0</v>
      </c>
      <c r="U314" s="1767">
        <v>0</v>
      </c>
      <c r="V314" s="1767">
        <v>0</v>
      </c>
      <c r="W314" s="1767">
        <v>0</v>
      </c>
      <c r="X314" s="1767">
        <v>0</v>
      </c>
      <c r="Y314" s="1767">
        <v>0</v>
      </c>
      <c r="Z314" s="1767">
        <v>0</v>
      </c>
      <c r="AA314" s="1767">
        <v>0</v>
      </c>
      <c r="AB314" s="1767">
        <v>0</v>
      </c>
      <c r="AC314" s="1767">
        <v>0</v>
      </c>
      <c r="AD314" s="1767">
        <v>0</v>
      </c>
      <c r="AE314" s="1767">
        <v>0</v>
      </c>
      <c r="AF314" s="1767">
        <v>0</v>
      </c>
      <c r="AG314" s="1767">
        <v>0</v>
      </c>
      <c r="AH314" s="1767">
        <v>0</v>
      </c>
      <c r="AI314" s="1767">
        <v>0</v>
      </c>
      <c r="AJ314" s="1767">
        <v>0</v>
      </c>
      <c r="AK314" s="1767">
        <v>0</v>
      </c>
      <c r="AL314" s="1767">
        <v>0</v>
      </c>
      <c r="AM314" s="1767">
        <v>0</v>
      </c>
      <c r="AN314" s="1767">
        <v>0</v>
      </c>
      <c r="AO314" s="1767">
        <v>0</v>
      </c>
      <c r="AP314" s="1767">
        <v>0</v>
      </c>
      <c r="AQ314" s="1767">
        <v>0</v>
      </c>
      <c r="AR314" s="1767">
        <v>0</v>
      </c>
      <c r="AS314" s="1767">
        <v>0</v>
      </c>
      <c r="AT314" s="1767">
        <v>0</v>
      </c>
      <c r="AU314" s="1767">
        <v>0</v>
      </c>
      <c r="AV314" s="1767">
        <v>0</v>
      </c>
      <c r="AW314" s="1767">
        <v>0</v>
      </c>
      <c r="AX314" s="1767">
        <v>0</v>
      </c>
      <c r="AY314" s="1767">
        <v>0</v>
      </c>
      <c r="AZ314" s="1767">
        <v>0</v>
      </c>
      <c r="BA314" s="1767">
        <v>0</v>
      </c>
      <c r="BB314" s="1767">
        <v>0</v>
      </c>
      <c r="BC314" s="1767">
        <v>0</v>
      </c>
      <c r="BD314" s="1767">
        <v>0</v>
      </c>
      <c r="BE314" s="1767">
        <v>0</v>
      </c>
      <c r="BF314" s="1767">
        <v>0</v>
      </c>
      <c r="BG314" s="1767">
        <v>0</v>
      </c>
      <c r="BH314" s="1767">
        <v>0</v>
      </c>
      <c r="BI314" s="1767">
        <v>0</v>
      </c>
      <c r="BJ314" s="1767">
        <v>0</v>
      </c>
      <c r="BK314" s="1767">
        <v>0</v>
      </c>
      <c r="BL314" s="1767">
        <v>0</v>
      </c>
      <c r="BM314" s="1767">
        <v>0</v>
      </c>
      <c r="BN314" s="1767">
        <v>0</v>
      </c>
      <c r="BO314" s="1767">
        <v>0</v>
      </c>
      <c r="BP314" s="1767">
        <v>0</v>
      </c>
      <c r="BQ314" s="1767">
        <v>0</v>
      </c>
      <c r="BR314" s="1767">
        <v>0</v>
      </c>
      <c r="BS314" s="1767">
        <v>0</v>
      </c>
      <c r="BT314" s="1767">
        <v>0</v>
      </c>
      <c r="BU314" s="1767">
        <v>0</v>
      </c>
      <c r="BV314" s="1767">
        <v>0</v>
      </c>
      <c r="BW314" s="1767">
        <v>0</v>
      </c>
      <c r="BX314" s="1767">
        <v>0</v>
      </c>
      <c r="BY314" s="1767">
        <v>0</v>
      </c>
      <c r="BZ314" s="1767">
        <v>0</v>
      </c>
      <c r="CA314" s="1767">
        <v>0</v>
      </c>
      <c r="CB314" s="1767">
        <v>0</v>
      </c>
      <c r="CC314" s="1767">
        <v>0</v>
      </c>
      <c r="CD314" s="1767">
        <v>0</v>
      </c>
      <c r="CE314" s="1767">
        <v>0</v>
      </c>
      <c r="CF314" s="1767">
        <v>0</v>
      </c>
      <c r="CG314" s="1767">
        <v>0</v>
      </c>
      <c r="CH314" s="1767">
        <v>0</v>
      </c>
      <c r="CI314" s="1767">
        <v>0</v>
      </c>
      <c r="CJ314" s="1767">
        <v>0</v>
      </c>
      <c r="CK314" s="1767">
        <v>0</v>
      </c>
      <c r="CL314" s="1767">
        <v>0</v>
      </c>
      <c r="CM314" s="1767">
        <v>0</v>
      </c>
      <c r="CN314" s="1767">
        <v>0</v>
      </c>
      <c r="CO314" s="1767">
        <v>0</v>
      </c>
      <c r="CP314" s="1767">
        <v>0</v>
      </c>
    </row>
    <row r="315" spans="1:94" ht="30" customHeight="1" thickBot="1" x14ac:dyDescent="0.25">
      <c r="A315" s="1889" t="s">
        <v>18</v>
      </c>
      <c r="B315" s="1856" t="s">
        <v>1986</v>
      </c>
      <c r="C315" s="1778" t="s">
        <v>1987</v>
      </c>
      <c r="D315" s="956"/>
      <c r="E315" s="1881" t="s">
        <v>1825</v>
      </c>
      <c r="F315" s="1225"/>
      <c r="G315" s="1742"/>
      <c r="H315" s="1770"/>
      <c r="I315" s="1770"/>
      <c r="J315" s="1770"/>
      <c r="K315" s="1770"/>
      <c r="L315" s="1770"/>
      <c r="M315" s="1770"/>
      <c r="N315" s="1770"/>
      <c r="O315" s="1770"/>
      <c r="P315" s="1770"/>
      <c r="Q315" s="1770"/>
      <c r="R315" s="1770"/>
      <c r="S315" s="1770"/>
      <c r="T315" s="1770"/>
      <c r="U315" s="1770"/>
      <c r="V315" s="1770"/>
      <c r="W315" s="1770"/>
      <c r="X315" s="1770"/>
      <c r="Y315" s="1770"/>
      <c r="Z315" s="1770"/>
      <c r="AA315" s="1770"/>
      <c r="AB315" s="1770"/>
      <c r="AC315" s="1770"/>
      <c r="AD315" s="1770"/>
      <c r="AE315" s="1770"/>
      <c r="AF315" s="1770"/>
      <c r="AG315" s="1770"/>
      <c r="AH315" s="1770"/>
      <c r="AI315" s="1770"/>
      <c r="AJ315" s="1770"/>
      <c r="AK315" s="1770"/>
      <c r="AL315" s="1770"/>
      <c r="AM315" s="1770"/>
      <c r="AN315" s="1770"/>
      <c r="AO315" s="1770"/>
      <c r="AP315" s="1770"/>
      <c r="AQ315" s="1770"/>
      <c r="AR315" s="1770"/>
      <c r="AS315" s="1770"/>
      <c r="AT315" s="1770"/>
      <c r="AU315" s="1770"/>
      <c r="AV315" s="1770"/>
      <c r="AW315" s="1770"/>
      <c r="AX315" s="1770"/>
      <c r="AY315" s="1770"/>
      <c r="AZ315" s="1770"/>
      <c r="BA315" s="1770"/>
      <c r="BB315" s="1770"/>
      <c r="BC315" s="1770"/>
      <c r="BD315" s="1770"/>
      <c r="BE315" s="1770"/>
      <c r="BF315" s="1770"/>
      <c r="BG315" s="1770"/>
      <c r="BH315" s="1770"/>
      <c r="BI315" s="1770"/>
      <c r="BJ315" s="1770"/>
      <c r="BK315" s="1770"/>
      <c r="BL315" s="1770"/>
      <c r="BM315" s="1770"/>
      <c r="BN315" s="1770"/>
      <c r="BO315" s="1770"/>
      <c r="BP315" s="1770"/>
      <c r="BQ315" s="1770"/>
      <c r="BR315" s="1770"/>
      <c r="BS315" s="1770"/>
      <c r="BT315" s="1770"/>
      <c r="BU315" s="1770"/>
      <c r="BV315" s="1770"/>
      <c r="BW315" s="1770"/>
      <c r="BX315" s="1770"/>
      <c r="BY315" s="1770"/>
      <c r="BZ315" s="1770"/>
      <c r="CA315" s="1770"/>
      <c r="CB315" s="1770"/>
      <c r="CC315" s="1770"/>
      <c r="CD315" s="1770"/>
      <c r="CE315" s="1770"/>
      <c r="CF315" s="1770"/>
      <c r="CG315" s="1770"/>
      <c r="CH315" s="1770"/>
      <c r="CI315" s="1770"/>
      <c r="CJ315" s="1770"/>
      <c r="CK315" s="1770"/>
      <c r="CL315" s="1770"/>
      <c r="CM315" s="1770"/>
      <c r="CN315" s="1770"/>
      <c r="CO315" s="1770"/>
      <c r="CP315" s="1770"/>
    </row>
    <row r="316" spans="1:94" ht="15" customHeight="1" x14ac:dyDescent="0.2">
      <c r="A316" s="1847"/>
      <c r="B316" s="1856"/>
      <c r="C316" s="652" t="s">
        <v>1759</v>
      </c>
      <c r="D316" s="936"/>
      <c r="E316" s="1881"/>
      <c r="F316" s="1225"/>
      <c r="G316" s="1767">
        <v>0</v>
      </c>
      <c r="H316" s="1771">
        <v>0</v>
      </c>
      <c r="I316" s="1771">
        <v>0</v>
      </c>
      <c r="J316" s="1771">
        <v>0</v>
      </c>
      <c r="K316" s="1771">
        <v>0</v>
      </c>
      <c r="L316" s="1771">
        <v>0</v>
      </c>
      <c r="M316" s="1771">
        <v>0</v>
      </c>
      <c r="N316" s="1771">
        <v>0</v>
      </c>
      <c r="O316" s="1771">
        <v>0</v>
      </c>
      <c r="P316" s="1771">
        <v>0</v>
      </c>
      <c r="Q316" s="1771">
        <v>0</v>
      </c>
      <c r="R316" s="1771">
        <v>0</v>
      </c>
      <c r="S316" s="1771">
        <v>0</v>
      </c>
      <c r="T316" s="1771">
        <v>0</v>
      </c>
      <c r="U316" s="1771">
        <v>0</v>
      </c>
      <c r="V316" s="1771">
        <v>0</v>
      </c>
      <c r="W316" s="1771">
        <v>0</v>
      </c>
      <c r="X316" s="1771">
        <v>0</v>
      </c>
      <c r="Y316" s="1771">
        <v>0</v>
      </c>
      <c r="Z316" s="1771">
        <v>0</v>
      </c>
      <c r="AA316" s="1771">
        <v>0</v>
      </c>
      <c r="AB316" s="1771">
        <v>0</v>
      </c>
      <c r="AC316" s="1771">
        <v>0</v>
      </c>
      <c r="AD316" s="1771">
        <v>0</v>
      </c>
      <c r="AE316" s="1771">
        <v>0</v>
      </c>
      <c r="AF316" s="1771">
        <v>0</v>
      </c>
      <c r="AG316" s="1771">
        <v>0</v>
      </c>
      <c r="AH316" s="1771">
        <v>0</v>
      </c>
      <c r="AI316" s="1771">
        <v>0</v>
      </c>
      <c r="AJ316" s="1771">
        <v>0</v>
      </c>
      <c r="AK316" s="1771">
        <v>0</v>
      </c>
      <c r="AL316" s="1771">
        <v>0</v>
      </c>
      <c r="AM316" s="1771">
        <v>0</v>
      </c>
      <c r="AN316" s="1771">
        <v>0</v>
      </c>
      <c r="AO316" s="1771">
        <v>0</v>
      </c>
      <c r="AP316" s="1771">
        <v>0</v>
      </c>
      <c r="AQ316" s="1771">
        <v>0</v>
      </c>
      <c r="AR316" s="1771">
        <v>0</v>
      </c>
      <c r="AS316" s="1771">
        <v>0</v>
      </c>
      <c r="AT316" s="1771">
        <v>0</v>
      </c>
      <c r="AU316" s="1771">
        <v>0</v>
      </c>
      <c r="AV316" s="1771">
        <v>0</v>
      </c>
      <c r="AW316" s="1771">
        <v>0</v>
      </c>
      <c r="AX316" s="1771">
        <v>0</v>
      </c>
      <c r="AY316" s="1771">
        <v>0</v>
      </c>
      <c r="AZ316" s="1771">
        <v>0</v>
      </c>
      <c r="BA316" s="1771">
        <v>0</v>
      </c>
      <c r="BB316" s="1771">
        <v>0</v>
      </c>
      <c r="BC316" s="1771">
        <v>0</v>
      </c>
      <c r="BD316" s="1771">
        <v>0</v>
      </c>
      <c r="BE316" s="1771">
        <v>0</v>
      </c>
      <c r="BF316" s="1771">
        <v>0</v>
      </c>
      <c r="BG316" s="1771">
        <v>0</v>
      </c>
      <c r="BH316" s="1771">
        <v>0</v>
      </c>
      <c r="BI316" s="1771">
        <v>0</v>
      </c>
      <c r="BJ316" s="1771">
        <v>0</v>
      </c>
      <c r="BK316" s="1771">
        <v>0</v>
      </c>
      <c r="BL316" s="1771">
        <v>0</v>
      </c>
      <c r="BM316" s="1771">
        <v>0</v>
      </c>
      <c r="BN316" s="1771">
        <v>0</v>
      </c>
      <c r="BO316" s="1771">
        <v>0</v>
      </c>
      <c r="BP316" s="1771">
        <v>0</v>
      </c>
      <c r="BQ316" s="1771">
        <v>0</v>
      </c>
      <c r="BR316" s="1771">
        <v>0</v>
      </c>
      <c r="BS316" s="1771">
        <v>0</v>
      </c>
      <c r="BT316" s="1771">
        <v>0</v>
      </c>
      <c r="BU316" s="1771">
        <v>0</v>
      </c>
      <c r="BV316" s="1771">
        <v>0</v>
      </c>
      <c r="BW316" s="1771">
        <v>0</v>
      </c>
      <c r="BX316" s="1771">
        <v>0</v>
      </c>
      <c r="BY316" s="1771">
        <v>0</v>
      </c>
      <c r="BZ316" s="1771">
        <v>0</v>
      </c>
      <c r="CA316" s="1771">
        <v>0</v>
      </c>
      <c r="CB316" s="1771">
        <v>0</v>
      </c>
      <c r="CC316" s="1771">
        <v>0</v>
      </c>
      <c r="CD316" s="1771">
        <v>0</v>
      </c>
      <c r="CE316" s="1771">
        <v>0</v>
      </c>
      <c r="CF316" s="1771">
        <v>0</v>
      </c>
      <c r="CG316" s="1771">
        <v>0</v>
      </c>
      <c r="CH316" s="1771">
        <v>0</v>
      </c>
      <c r="CI316" s="1771">
        <v>0</v>
      </c>
      <c r="CJ316" s="1771">
        <v>0</v>
      </c>
      <c r="CK316" s="1771">
        <v>0</v>
      </c>
      <c r="CL316" s="1771">
        <v>0</v>
      </c>
      <c r="CM316" s="1771">
        <v>0</v>
      </c>
      <c r="CN316" s="1771">
        <v>0</v>
      </c>
      <c r="CO316" s="1771">
        <v>0</v>
      </c>
      <c r="CP316" s="1771">
        <v>0</v>
      </c>
    </row>
    <row r="317" spans="1:94" ht="15" customHeight="1" x14ac:dyDescent="0.2">
      <c r="A317" s="1847"/>
      <c r="B317" s="1856"/>
      <c r="C317" s="653" t="s">
        <v>615</v>
      </c>
      <c r="D317" s="936"/>
      <c r="E317" s="1881"/>
      <c r="F317" s="1225"/>
      <c r="G317" s="1767">
        <v>0</v>
      </c>
      <c r="H317" s="1771">
        <v>0</v>
      </c>
      <c r="I317" s="1771">
        <v>0</v>
      </c>
      <c r="J317" s="1771">
        <v>0</v>
      </c>
      <c r="K317" s="1771">
        <v>0</v>
      </c>
      <c r="L317" s="1771">
        <v>0</v>
      </c>
      <c r="M317" s="1771">
        <v>0</v>
      </c>
      <c r="N317" s="1771">
        <v>0</v>
      </c>
      <c r="O317" s="1771">
        <v>0</v>
      </c>
      <c r="P317" s="1771">
        <v>0</v>
      </c>
      <c r="Q317" s="1771">
        <v>0</v>
      </c>
      <c r="R317" s="1771">
        <v>0</v>
      </c>
      <c r="S317" s="1771">
        <v>0</v>
      </c>
      <c r="T317" s="1771">
        <v>0</v>
      </c>
      <c r="U317" s="1771">
        <v>0</v>
      </c>
      <c r="V317" s="1771">
        <v>0</v>
      </c>
      <c r="W317" s="1771">
        <v>0</v>
      </c>
      <c r="X317" s="1771">
        <v>0</v>
      </c>
      <c r="Y317" s="1771">
        <v>0</v>
      </c>
      <c r="Z317" s="1771">
        <v>0</v>
      </c>
      <c r="AA317" s="1771">
        <v>0</v>
      </c>
      <c r="AB317" s="1771">
        <v>0</v>
      </c>
      <c r="AC317" s="1771">
        <v>0</v>
      </c>
      <c r="AD317" s="1771">
        <v>0</v>
      </c>
      <c r="AE317" s="1771">
        <v>0</v>
      </c>
      <c r="AF317" s="1771">
        <v>0</v>
      </c>
      <c r="AG317" s="1771">
        <v>0</v>
      </c>
      <c r="AH317" s="1771">
        <v>0</v>
      </c>
      <c r="AI317" s="1771">
        <v>0</v>
      </c>
      <c r="AJ317" s="1771">
        <v>0</v>
      </c>
      <c r="AK317" s="1771">
        <v>0</v>
      </c>
      <c r="AL317" s="1771">
        <v>0</v>
      </c>
      <c r="AM317" s="1771">
        <v>0</v>
      </c>
      <c r="AN317" s="1771">
        <v>0</v>
      </c>
      <c r="AO317" s="1771">
        <v>0</v>
      </c>
      <c r="AP317" s="1771">
        <v>0</v>
      </c>
      <c r="AQ317" s="1771">
        <v>0</v>
      </c>
      <c r="AR317" s="1771">
        <v>0</v>
      </c>
      <c r="AS317" s="1771">
        <v>0</v>
      </c>
      <c r="AT317" s="1771">
        <v>0</v>
      </c>
      <c r="AU317" s="1771">
        <v>0</v>
      </c>
      <c r="AV317" s="1771">
        <v>0</v>
      </c>
      <c r="AW317" s="1771">
        <v>0</v>
      </c>
      <c r="AX317" s="1771">
        <v>0</v>
      </c>
      <c r="AY317" s="1771">
        <v>0</v>
      </c>
      <c r="AZ317" s="1771">
        <v>0</v>
      </c>
      <c r="BA317" s="1771">
        <v>0</v>
      </c>
      <c r="BB317" s="1771">
        <v>0</v>
      </c>
      <c r="BC317" s="1771">
        <v>0</v>
      </c>
      <c r="BD317" s="1771">
        <v>0</v>
      </c>
      <c r="BE317" s="1771">
        <v>0</v>
      </c>
      <c r="BF317" s="1771">
        <v>0</v>
      </c>
      <c r="BG317" s="1771">
        <v>0</v>
      </c>
      <c r="BH317" s="1771">
        <v>0</v>
      </c>
      <c r="BI317" s="1771">
        <v>0</v>
      </c>
      <c r="BJ317" s="1771">
        <v>0</v>
      </c>
      <c r="BK317" s="1771">
        <v>0</v>
      </c>
      <c r="BL317" s="1771">
        <v>0</v>
      </c>
      <c r="BM317" s="1771">
        <v>0</v>
      </c>
      <c r="BN317" s="1771">
        <v>0</v>
      </c>
      <c r="BO317" s="1771">
        <v>0</v>
      </c>
      <c r="BP317" s="1771">
        <v>0</v>
      </c>
      <c r="BQ317" s="1771">
        <v>0</v>
      </c>
      <c r="BR317" s="1771">
        <v>0</v>
      </c>
      <c r="BS317" s="1771">
        <v>0</v>
      </c>
      <c r="BT317" s="1771">
        <v>0</v>
      </c>
      <c r="BU317" s="1771">
        <v>0</v>
      </c>
      <c r="BV317" s="1771">
        <v>0</v>
      </c>
      <c r="BW317" s="1771">
        <v>0</v>
      </c>
      <c r="BX317" s="1771">
        <v>0</v>
      </c>
      <c r="BY317" s="1771">
        <v>0</v>
      </c>
      <c r="BZ317" s="1771">
        <v>0</v>
      </c>
      <c r="CA317" s="1771">
        <v>0</v>
      </c>
      <c r="CB317" s="1771">
        <v>0</v>
      </c>
      <c r="CC317" s="1771">
        <v>0</v>
      </c>
      <c r="CD317" s="1771">
        <v>0</v>
      </c>
      <c r="CE317" s="1771">
        <v>0</v>
      </c>
      <c r="CF317" s="1771">
        <v>0</v>
      </c>
      <c r="CG317" s="1771">
        <v>0</v>
      </c>
      <c r="CH317" s="1771">
        <v>0</v>
      </c>
      <c r="CI317" s="1771">
        <v>0</v>
      </c>
      <c r="CJ317" s="1771">
        <v>0</v>
      </c>
      <c r="CK317" s="1771">
        <v>0</v>
      </c>
      <c r="CL317" s="1771">
        <v>0</v>
      </c>
      <c r="CM317" s="1771">
        <v>0</v>
      </c>
      <c r="CN317" s="1771">
        <v>0</v>
      </c>
      <c r="CO317" s="1771">
        <v>0</v>
      </c>
      <c r="CP317" s="1771">
        <v>0</v>
      </c>
    </row>
    <row r="318" spans="1:94" ht="15" customHeight="1" thickBot="1" x14ac:dyDescent="0.25">
      <c r="A318" s="1847"/>
      <c r="B318" s="1856"/>
      <c r="C318" s="800" t="s">
        <v>616</v>
      </c>
      <c r="D318" s="949"/>
      <c r="E318" s="1881"/>
      <c r="F318" s="1225"/>
      <c r="G318" s="1767">
        <v>0</v>
      </c>
      <c r="H318" s="1771">
        <v>0</v>
      </c>
      <c r="I318" s="1771">
        <v>0</v>
      </c>
      <c r="J318" s="1771">
        <v>0</v>
      </c>
      <c r="K318" s="1771">
        <v>0</v>
      </c>
      <c r="L318" s="1771">
        <v>0</v>
      </c>
      <c r="M318" s="1771">
        <v>0</v>
      </c>
      <c r="N318" s="1771">
        <v>0</v>
      </c>
      <c r="O318" s="1771">
        <v>0</v>
      </c>
      <c r="P318" s="1771">
        <v>0</v>
      </c>
      <c r="Q318" s="1771">
        <v>0</v>
      </c>
      <c r="R318" s="1771">
        <v>0</v>
      </c>
      <c r="S318" s="1771">
        <v>0</v>
      </c>
      <c r="T318" s="1771">
        <v>0</v>
      </c>
      <c r="U318" s="1771">
        <v>0</v>
      </c>
      <c r="V318" s="1771">
        <v>0</v>
      </c>
      <c r="W318" s="1771">
        <v>0</v>
      </c>
      <c r="X318" s="1771">
        <v>0</v>
      </c>
      <c r="Y318" s="1771">
        <v>0</v>
      </c>
      <c r="Z318" s="1771">
        <v>0</v>
      </c>
      <c r="AA318" s="1771">
        <v>0</v>
      </c>
      <c r="AB318" s="1771">
        <v>0</v>
      </c>
      <c r="AC318" s="1771">
        <v>0</v>
      </c>
      <c r="AD318" s="1771">
        <v>0</v>
      </c>
      <c r="AE318" s="1771">
        <v>0</v>
      </c>
      <c r="AF318" s="1771">
        <v>0</v>
      </c>
      <c r="AG318" s="1771">
        <v>0</v>
      </c>
      <c r="AH318" s="1771">
        <v>0</v>
      </c>
      <c r="AI318" s="1771">
        <v>0</v>
      </c>
      <c r="AJ318" s="1771">
        <v>0</v>
      </c>
      <c r="AK318" s="1771">
        <v>0</v>
      </c>
      <c r="AL318" s="1771">
        <v>0</v>
      </c>
      <c r="AM318" s="1771">
        <v>0</v>
      </c>
      <c r="AN318" s="1771">
        <v>0</v>
      </c>
      <c r="AO318" s="1771">
        <v>0</v>
      </c>
      <c r="AP318" s="1771">
        <v>0</v>
      </c>
      <c r="AQ318" s="1771">
        <v>0</v>
      </c>
      <c r="AR318" s="1771">
        <v>0</v>
      </c>
      <c r="AS318" s="1771">
        <v>0</v>
      </c>
      <c r="AT318" s="1771">
        <v>0</v>
      </c>
      <c r="AU318" s="1771">
        <v>0</v>
      </c>
      <c r="AV318" s="1771">
        <v>0</v>
      </c>
      <c r="AW318" s="1771">
        <v>0</v>
      </c>
      <c r="AX318" s="1771">
        <v>0</v>
      </c>
      <c r="AY318" s="1771">
        <v>0</v>
      </c>
      <c r="AZ318" s="1771">
        <v>0</v>
      </c>
      <c r="BA318" s="1771">
        <v>0</v>
      </c>
      <c r="BB318" s="1771">
        <v>0</v>
      </c>
      <c r="BC318" s="1771">
        <v>0</v>
      </c>
      <c r="BD318" s="1771">
        <v>0</v>
      </c>
      <c r="BE318" s="1771">
        <v>0</v>
      </c>
      <c r="BF318" s="1771">
        <v>0</v>
      </c>
      <c r="BG318" s="1771">
        <v>0</v>
      </c>
      <c r="BH318" s="1771">
        <v>0</v>
      </c>
      <c r="BI318" s="1771">
        <v>0</v>
      </c>
      <c r="BJ318" s="1771">
        <v>0</v>
      </c>
      <c r="BK318" s="1771">
        <v>0</v>
      </c>
      <c r="BL318" s="1771">
        <v>0</v>
      </c>
      <c r="BM318" s="1771">
        <v>0</v>
      </c>
      <c r="BN318" s="1771">
        <v>0</v>
      </c>
      <c r="BO318" s="1771">
        <v>0</v>
      </c>
      <c r="BP318" s="1771">
        <v>0</v>
      </c>
      <c r="BQ318" s="1771">
        <v>0</v>
      </c>
      <c r="BR318" s="1771">
        <v>0</v>
      </c>
      <c r="BS318" s="1771">
        <v>0</v>
      </c>
      <c r="BT318" s="1771">
        <v>0</v>
      </c>
      <c r="BU318" s="1771">
        <v>0</v>
      </c>
      <c r="BV318" s="1771">
        <v>0</v>
      </c>
      <c r="BW318" s="1771">
        <v>0</v>
      </c>
      <c r="BX318" s="1771">
        <v>0</v>
      </c>
      <c r="BY318" s="1771">
        <v>0</v>
      </c>
      <c r="BZ318" s="1771">
        <v>0</v>
      </c>
      <c r="CA318" s="1771">
        <v>0</v>
      </c>
      <c r="CB318" s="1771">
        <v>0</v>
      </c>
      <c r="CC318" s="1771">
        <v>0</v>
      </c>
      <c r="CD318" s="1771">
        <v>0</v>
      </c>
      <c r="CE318" s="1771">
        <v>0</v>
      </c>
      <c r="CF318" s="1771">
        <v>0</v>
      </c>
      <c r="CG318" s="1771">
        <v>0</v>
      </c>
      <c r="CH318" s="1771">
        <v>0</v>
      </c>
      <c r="CI318" s="1771">
        <v>0</v>
      </c>
      <c r="CJ318" s="1771">
        <v>0</v>
      </c>
      <c r="CK318" s="1771">
        <v>0</v>
      </c>
      <c r="CL318" s="1771">
        <v>0</v>
      </c>
      <c r="CM318" s="1771">
        <v>0</v>
      </c>
      <c r="CN318" s="1771">
        <v>0</v>
      </c>
      <c r="CO318" s="1771">
        <v>0</v>
      </c>
      <c r="CP318" s="1771">
        <v>0</v>
      </c>
    </row>
    <row r="319" spans="1:94" ht="21" customHeight="1" thickBot="1" x14ac:dyDescent="0.25">
      <c r="A319" s="1846" t="s">
        <v>1998</v>
      </c>
      <c r="B319" s="1846" t="s">
        <v>1997</v>
      </c>
      <c r="C319" s="1790" t="s">
        <v>1988</v>
      </c>
      <c r="D319" s="974"/>
      <c r="E319" s="1910" t="s">
        <v>2053</v>
      </c>
      <c r="F319" s="1225"/>
      <c r="G319" s="1742"/>
      <c r="H319" s="1770"/>
      <c r="I319" s="1770"/>
      <c r="J319" s="1770"/>
      <c r="K319" s="1770"/>
      <c r="L319" s="1770"/>
      <c r="M319" s="1770"/>
      <c r="N319" s="1770"/>
      <c r="O319" s="1770"/>
      <c r="P319" s="1770"/>
      <c r="Q319" s="1770"/>
      <c r="R319" s="1770"/>
      <c r="S319" s="1770"/>
      <c r="T319" s="1770"/>
      <c r="U319" s="1770"/>
      <c r="V319" s="1770"/>
      <c r="W319" s="1770"/>
      <c r="X319" s="1770"/>
      <c r="Y319" s="1770"/>
      <c r="Z319" s="1770"/>
      <c r="AA319" s="1770"/>
      <c r="AB319" s="1770"/>
      <c r="AC319" s="1770"/>
      <c r="AD319" s="1770"/>
      <c r="AE319" s="1770"/>
      <c r="AF319" s="1770"/>
      <c r="AG319" s="1770"/>
      <c r="AH319" s="1770"/>
      <c r="AI319" s="1770"/>
      <c r="AJ319" s="1770"/>
      <c r="AK319" s="1770"/>
      <c r="AL319" s="1770"/>
      <c r="AM319" s="1770"/>
      <c r="AN319" s="1770"/>
      <c r="AO319" s="1770"/>
      <c r="AP319" s="1770"/>
      <c r="AQ319" s="1770"/>
      <c r="AR319" s="1770"/>
      <c r="AS319" s="1770"/>
      <c r="AT319" s="1770"/>
      <c r="AU319" s="1770"/>
      <c r="AV319" s="1770"/>
      <c r="AW319" s="1770"/>
      <c r="AX319" s="1770"/>
      <c r="AY319" s="1770"/>
      <c r="AZ319" s="1770"/>
      <c r="BA319" s="1770"/>
      <c r="BB319" s="1770"/>
      <c r="BC319" s="1770"/>
      <c r="BD319" s="1770"/>
      <c r="BE319" s="1770"/>
      <c r="BF319" s="1770"/>
      <c r="BG319" s="1770"/>
      <c r="BH319" s="1770"/>
      <c r="BI319" s="1770"/>
      <c r="BJ319" s="1770"/>
      <c r="BK319" s="1770"/>
      <c r="BL319" s="1770"/>
      <c r="BM319" s="1770"/>
      <c r="BN319" s="1770"/>
      <c r="BO319" s="1770"/>
      <c r="BP319" s="1770"/>
      <c r="BQ319" s="1770"/>
      <c r="BR319" s="1770"/>
      <c r="BS319" s="1770"/>
      <c r="BT319" s="1770"/>
      <c r="BU319" s="1770"/>
      <c r="BV319" s="1770"/>
      <c r="BW319" s="1770"/>
      <c r="BX319" s="1770"/>
      <c r="BY319" s="1770"/>
      <c r="BZ319" s="1770"/>
      <c r="CA319" s="1770"/>
      <c r="CB319" s="1770"/>
      <c r="CC319" s="1770"/>
      <c r="CD319" s="1770"/>
      <c r="CE319" s="1770"/>
      <c r="CF319" s="1770"/>
      <c r="CG319" s="1770"/>
      <c r="CH319" s="1770"/>
      <c r="CI319" s="1770"/>
      <c r="CJ319" s="1770"/>
      <c r="CK319" s="1770"/>
      <c r="CL319" s="1770"/>
      <c r="CM319" s="1770"/>
      <c r="CN319" s="1770"/>
      <c r="CO319" s="1770"/>
      <c r="CP319" s="1770"/>
    </row>
    <row r="320" spans="1:94" ht="27" customHeight="1" x14ac:dyDescent="0.2">
      <c r="A320" s="1847"/>
      <c r="B320" s="1856"/>
      <c r="C320" s="878" t="s">
        <v>2341</v>
      </c>
      <c r="D320" s="936"/>
      <c r="E320" s="1881"/>
      <c r="F320" s="1225"/>
      <c r="G320" s="1767">
        <v>0</v>
      </c>
      <c r="H320" s="1771">
        <v>0</v>
      </c>
      <c r="I320" s="1771">
        <v>0</v>
      </c>
      <c r="J320" s="1771">
        <v>0</v>
      </c>
      <c r="K320" s="1771">
        <v>0</v>
      </c>
      <c r="L320" s="1771">
        <v>0</v>
      </c>
      <c r="M320" s="1771">
        <v>0</v>
      </c>
      <c r="N320" s="1771">
        <v>0</v>
      </c>
      <c r="O320" s="1771">
        <v>0</v>
      </c>
      <c r="P320" s="1771">
        <v>0</v>
      </c>
      <c r="Q320" s="1771">
        <v>0</v>
      </c>
      <c r="R320" s="1771">
        <v>0</v>
      </c>
      <c r="S320" s="1771">
        <v>0</v>
      </c>
      <c r="T320" s="1771">
        <v>0</v>
      </c>
      <c r="U320" s="1771">
        <v>0</v>
      </c>
      <c r="V320" s="1771">
        <v>0</v>
      </c>
      <c r="W320" s="1771">
        <v>0</v>
      </c>
      <c r="X320" s="1771">
        <v>0</v>
      </c>
      <c r="Y320" s="1771">
        <v>0</v>
      </c>
      <c r="Z320" s="1771">
        <v>0</v>
      </c>
      <c r="AA320" s="1771">
        <v>0</v>
      </c>
      <c r="AB320" s="1771">
        <v>0</v>
      </c>
      <c r="AC320" s="1771">
        <v>0</v>
      </c>
      <c r="AD320" s="1771">
        <v>0</v>
      </c>
      <c r="AE320" s="1771">
        <v>0</v>
      </c>
      <c r="AF320" s="1771">
        <v>0</v>
      </c>
      <c r="AG320" s="1771">
        <v>0</v>
      </c>
      <c r="AH320" s="1771">
        <v>0</v>
      </c>
      <c r="AI320" s="1771">
        <v>0</v>
      </c>
      <c r="AJ320" s="1771">
        <v>0</v>
      </c>
      <c r="AK320" s="1771">
        <v>0</v>
      </c>
      <c r="AL320" s="1771">
        <v>0</v>
      </c>
      <c r="AM320" s="1771">
        <v>0</v>
      </c>
      <c r="AN320" s="1771">
        <v>0</v>
      </c>
      <c r="AO320" s="1771">
        <v>0</v>
      </c>
      <c r="AP320" s="1771">
        <v>0</v>
      </c>
      <c r="AQ320" s="1771">
        <v>0</v>
      </c>
      <c r="AR320" s="1771">
        <v>0</v>
      </c>
      <c r="AS320" s="1771">
        <v>0</v>
      </c>
      <c r="AT320" s="1771">
        <v>0</v>
      </c>
      <c r="AU320" s="1771">
        <v>0</v>
      </c>
      <c r="AV320" s="1771">
        <v>0</v>
      </c>
      <c r="AW320" s="1771">
        <v>0</v>
      </c>
      <c r="AX320" s="1771">
        <v>0</v>
      </c>
      <c r="AY320" s="1771">
        <v>0</v>
      </c>
      <c r="AZ320" s="1771">
        <v>0</v>
      </c>
      <c r="BA320" s="1771">
        <v>0</v>
      </c>
      <c r="BB320" s="1771">
        <v>0</v>
      </c>
      <c r="BC320" s="1771">
        <v>0</v>
      </c>
      <c r="BD320" s="1771">
        <v>0</v>
      </c>
      <c r="BE320" s="1771">
        <v>0</v>
      </c>
      <c r="BF320" s="1771">
        <v>0</v>
      </c>
      <c r="BG320" s="1771">
        <v>0</v>
      </c>
      <c r="BH320" s="1771">
        <v>0</v>
      </c>
      <c r="BI320" s="1771">
        <v>0</v>
      </c>
      <c r="BJ320" s="1771">
        <v>0</v>
      </c>
      <c r="BK320" s="1771">
        <v>0</v>
      </c>
      <c r="BL320" s="1771">
        <v>0</v>
      </c>
      <c r="BM320" s="1771">
        <v>0</v>
      </c>
      <c r="BN320" s="1771">
        <v>0</v>
      </c>
      <c r="BO320" s="1771">
        <v>0</v>
      </c>
      <c r="BP320" s="1771">
        <v>0</v>
      </c>
      <c r="BQ320" s="1771">
        <v>0</v>
      </c>
      <c r="BR320" s="1771">
        <v>0</v>
      </c>
      <c r="BS320" s="1771">
        <v>0</v>
      </c>
      <c r="BT320" s="1771">
        <v>0</v>
      </c>
      <c r="BU320" s="1771">
        <v>0</v>
      </c>
      <c r="BV320" s="1771">
        <v>0</v>
      </c>
      <c r="BW320" s="1771">
        <v>0</v>
      </c>
      <c r="BX320" s="1771">
        <v>0</v>
      </c>
      <c r="BY320" s="1771">
        <v>0</v>
      </c>
      <c r="BZ320" s="1771">
        <v>0</v>
      </c>
      <c r="CA320" s="1771">
        <v>0</v>
      </c>
      <c r="CB320" s="1771">
        <v>0</v>
      </c>
      <c r="CC320" s="1771">
        <v>0</v>
      </c>
      <c r="CD320" s="1771">
        <v>0</v>
      </c>
      <c r="CE320" s="1771">
        <v>0</v>
      </c>
      <c r="CF320" s="1771">
        <v>0</v>
      </c>
      <c r="CG320" s="1771">
        <v>0</v>
      </c>
      <c r="CH320" s="1771">
        <v>0</v>
      </c>
      <c r="CI320" s="1771">
        <v>0</v>
      </c>
      <c r="CJ320" s="1771">
        <v>0</v>
      </c>
      <c r="CK320" s="1771">
        <v>0</v>
      </c>
      <c r="CL320" s="1771">
        <v>0</v>
      </c>
      <c r="CM320" s="1771">
        <v>0</v>
      </c>
      <c r="CN320" s="1771">
        <v>0</v>
      </c>
      <c r="CO320" s="1771">
        <v>0</v>
      </c>
      <c r="CP320" s="1771">
        <v>0</v>
      </c>
    </row>
    <row r="321" spans="1:94" ht="27" customHeight="1" x14ac:dyDescent="0.2">
      <c r="A321" s="1847"/>
      <c r="B321" s="1856"/>
      <c r="C321" s="879" t="s">
        <v>2061</v>
      </c>
      <c r="D321" s="936"/>
      <c r="E321" s="1881"/>
      <c r="F321" s="1225"/>
      <c r="G321" s="1767">
        <v>0</v>
      </c>
      <c r="H321" s="1771">
        <v>0</v>
      </c>
      <c r="I321" s="1771">
        <v>0</v>
      </c>
      <c r="J321" s="1771">
        <v>0</v>
      </c>
      <c r="K321" s="1771">
        <v>0</v>
      </c>
      <c r="L321" s="1771">
        <v>0</v>
      </c>
      <c r="M321" s="1771">
        <v>0</v>
      </c>
      <c r="N321" s="1771">
        <v>0</v>
      </c>
      <c r="O321" s="1771">
        <v>0</v>
      </c>
      <c r="P321" s="1771">
        <v>0</v>
      </c>
      <c r="Q321" s="1771">
        <v>0</v>
      </c>
      <c r="R321" s="1771">
        <v>0</v>
      </c>
      <c r="S321" s="1771">
        <v>0</v>
      </c>
      <c r="T321" s="1771">
        <v>0</v>
      </c>
      <c r="U321" s="1771">
        <v>0</v>
      </c>
      <c r="V321" s="1771">
        <v>0</v>
      </c>
      <c r="W321" s="1771">
        <v>0</v>
      </c>
      <c r="X321" s="1771">
        <v>0</v>
      </c>
      <c r="Y321" s="1771">
        <v>0</v>
      </c>
      <c r="Z321" s="1771">
        <v>0</v>
      </c>
      <c r="AA321" s="1771">
        <v>0</v>
      </c>
      <c r="AB321" s="1771">
        <v>0</v>
      </c>
      <c r="AC321" s="1771">
        <v>0</v>
      </c>
      <c r="AD321" s="1771">
        <v>0</v>
      </c>
      <c r="AE321" s="1771">
        <v>0</v>
      </c>
      <c r="AF321" s="1771">
        <v>0</v>
      </c>
      <c r="AG321" s="1771">
        <v>0</v>
      </c>
      <c r="AH321" s="1771">
        <v>0</v>
      </c>
      <c r="AI321" s="1771">
        <v>0</v>
      </c>
      <c r="AJ321" s="1771">
        <v>0</v>
      </c>
      <c r="AK321" s="1771">
        <v>0</v>
      </c>
      <c r="AL321" s="1771">
        <v>0</v>
      </c>
      <c r="AM321" s="1771">
        <v>0</v>
      </c>
      <c r="AN321" s="1771">
        <v>0</v>
      </c>
      <c r="AO321" s="1771">
        <v>0</v>
      </c>
      <c r="AP321" s="1771">
        <v>0</v>
      </c>
      <c r="AQ321" s="1771">
        <v>0</v>
      </c>
      <c r="AR321" s="1771">
        <v>0</v>
      </c>
      <c r="AS321" s="1771">
        <v>0</v>
      </c>
      <c r="AT321" s="1771">
        <v>0</v>
      </c>
      <c r="AU321" s="1771">
        <v>0</v>
      </c>
      <c r="AV321" s="1771">
        <v>0</v>
      </c>
      <c r="AW321" s="1771">
        <v>0</v>
      </c>
      <c r="AX321" s="1771">
        <v>0</v>
      </c>
      <c r="AY321" s="1771">
        <v>0</v>
      </c>
      <c r="AZ321" s="1771">
        <v>0</v>
      </c>
      <c r="BA321" s="1771">
        <v>0</v>
      </c>
      <c r="BB321" s="1771">
        <v>0</v>
      </c>
      <c r="BC321" s="1771">
        <v>0</v>
      </c>
      <c r="BD321" s="1771">
        <v>0</v>
      </c>
      <c r="BE321" s="1771">
        <v>0</v>
      </c>
      <c r="BF321" s="1771">
        <v>0</v>
      </c>
      <c r="BG321" s="1771">
        <v>0</v>
      </c>
      <c r="BH321" s="1771">
        <v>0</v>
      </c>
      <c r="BI321" s="1771">
        <v>0</v>
      </c>
      <c r="BJ321" s="1771">
        <v>0</v>
      </c>
      <c r="BK321" s="1771">
        <v>0</v>
      </c>
      <c r="BL321" s="1771">
        <v>0</v>
      </c>
      <c r="BM321" s="1771">
        <v>0</v>
      </c>
      <c r="BN321" s="1771">
        <v>0</v>
      </c>
      <c r="BO321" s="1771">
        <v>0</v>
      </c>
      <c r="BP321" s="1771">
        <v>0</v>
      </c>
      <c r="BQ321" s="1771">
        <v>0</v>
      </c>
      <c r="BR321" s="1771">
        <v>0</v>
      </c>
      <c r="BS321" s="1771">
        <v>0</v>
      </c>
      <c r="BT321" s="1771">
        <v>0</v>
      </c>
      <c r="BU321" s="1771">
        <v>0</v>
      </c>
      <c r="BV321" s="1771">
        <v>0</v>
      </c>
      <c r="BW321" s="1771">
        <v>0</v>
      </c>
      <c r="BX321" s="1771">
        <v>0</v>
      </c>
      <c r="BY321" s="1771">
        <v>0</v>
      </c>
      <c r="BZ321" s="1771">
        <v>0</v>
      </c>
      <c r="CA321" s="1771">
        <v>0</v>
      </c>
      <c r="CB321" s="1771">
        <v>0</v>
      </c>
      <c r="CC321" s="1771">
        <v>0</v>
      </c>
      <c r="CD321" s="1771">
        <v>0</v>
      </c>
      <c r="CE321" s="1771">
        <v>0</v>
      </c>
      <c r="CF321" s="1771">
        <v>0</v>
      </c>
      <c r="CG321" s="1771">
        <v>0</v>
      </c>
      <c r="CH321" s="1771">
        <v>0</v>
      </c>
      <c r="CI321" s="1771">
        <v>0</v>
      </c>
      <c r="CJ321" s="1771">
        <v>0</v>
      </c>
      <c r="CK321" s="1771">
        <v>0</v>
      </c>
      <c r="CL321" s="1771">
        <v>0</v>
      </c>
      <c r="CM321" s="1771">
        <v>0</v>
      </c>
      <c r="CN321" s="1771">
        <v>0</v>
      </c>
      <c r="CO321" s="1771">
        <v>0</v>
      </c>
      <c r="CP321" s="1771">
        <v>0</v>
      </c>
    </row>
    <row r="322" spans="1:94" ht="42" customHeight="1" x14ac:dyDescent="0.2">
      <c r="A322" s="1847"/>
      <c r="B322" s="1856"/>
      <c r="C322" s="879" t="s">
        <v>1989</v>
      </c>
      <c r="D322" s="936"/>
      <c r="E322" s="1881"/>
      <c r="F322" s="1225"/>
      <c r="G322" s="1767">
        <v>0</v>
      </c>
      <c r="H322" s="1771">
        <v>0</v>
      </c>
      <c r="I322" s="1771">
        <v>0</v>
      </c>
      <c r="J322" s="1771">
        <v>0</v>
      </c>
      <c r="K322" s="1771">
        <v>0</v>
      </c>
      <c r="L322" s="1771">
        <v>0</v>
      </c>
      <c r="M322" s="1771">
        <v>0</v>
      </c>
      <c r="N322" s="1771">
        <v>0</v>
      </c>
      <c r="O322" s="1771">
        <v>0</v>
      </c>
      <c r="P322" s="1771">
        <v>0</v>
      </c>
      <c r="Q322" s="1771">
        <v>0</v>
      </c>
      <c r="R322" s="1771">
        <v>0</v>
      </c>
      <c r="S322" s="1771">
        <v>0</v>
      </c>
      <c r="T322" s="1771">
        <v>0</v>
      </c>
      <c r="U322" s="1771">
        <v>0</v>
      </c>
      <c r="V322" s="1771">
        <v>0</v>
      </c>
      <c r="W322" s="1771">
        <v>0</v>
      </c>
      <c r="X322" s="1771">
        <v>0</v>
      </c>
      <c r="Y322" s="1771">
        <v>0</v>
      </c>
      <c r="Z322" s="1771">
        <v>0</v>
      </c>
      <c r="AA322" s="1771">
        <v>0</v>
      </c>
      <c r="AB322" s="1771">
        <v>0</v>
      </c>
      <c r="AC322" s="1771">
        <v>0</v>
      </c>
      <c r="AD322" s="1771">
        <v>0</v>
      </c>
      <c r="AE322" s="1771">
        <v>0</v>
      </c>
      <c r="AF322" s="1771">
        <v>0</v>
      </c>
      <c r="AG322" s="1771">
        <v>0</v>
      </c>
      <c r="AH322" s="1771">
        <v>0</v>
      </c>
      <c r="AI322" s="1771">
        <v>0</v>
      </c>
      <c r="AJ322" s="1771">
        <v>0</v>
      </c>
      <c r="AK322" s="1771">
        <v>0</v>
      </c>
      <c r="AL322" s="1771">
        <v>0</v>
      </c>
      <c r="AM322" s="1771">
        <v>0</v>
      </c>
      <c r="AN322" s="1771">
        <v>0</v>
      </c>
      <c r="AO322" s="1771">
        <v>0</v>
      </c>
      <c r="AP322" s="1771">
        <v>0</v>
      </c>
      <c r="AQ322" s="1771">
        <v>0</v>
      </c>
      <c r="AR322" s="1771">
        <v>0</v>
      </c>
      <c r="AS322" s="1771">
        <v>0</v>
      </c>
      <c r="AT322" s="1771">
        <v>0</v>
      </c>
      <c r="AU322" s="1771">
        <v>0</v>
      </c>
      <c r="AV322" s="1771">
        <v>0</v>
      </c>
      <c r="AW322" s="1771">
        <v>0</v>
      </c>
      <c r="AX322" s="1771">
        <v>0</v>
      </c>
      <c r="AY322" s="1771">
        <v>0</v>
      </c>
      <c r="AZ322" s="1771">
        <v>0</v>
      </c>
      <c r="BA322" s="1771">
        <v>0</v>
      </c>
      <c r="BB322" s="1771">
        <v>0</v>
      </c>
      <c r="BC322" s="1771">
        <v>0</v>
      </c>
      <c r="BD322" s="1771">
        <v>0</v>
      </c>
      <c r="BE322" s="1771">
        <v>0</v>
      </c>
      <c r="BF322" s="1771">
        <v>0</v>
      </c>
      <c r="BG322" s="1771">
        <v>0</v>
      </c>
      <c r="BH322" s="1771">
        <v>0</v>
      </c>
      <c r="BI322" s="1771">
        <v>0</v>
      </c>
      <c r="BJ322" s="1771">
        <v>0</v>
      </c>
      <c r="BK322" s="1771">
        <v>0</v>
      </c>
      <c r="BL322" s="1771">
        <v>0</v>
      </c>
      <c r="BM322" s="1771">
        <v>0</v>
      </c>
      <c r="BN322" s="1771">
        <v>0</v>
      </c>
      <c r="BO322" s="1771">
        <v>0</v>
      </c>
      <c r="BP322" s="1771">
        <v>0</v>
      </c>
      <c r="BQ322" s="1771">
        <v>0</v>
      </c>
      <c r="BR322" s="1771">
        <v>0</v>
      </c>
      <c r="BS322" s="1771">
        <v>0</v>
      </c>
      <c r="BT322" s="1771">
        <v>0</v>
      </c>
      <c r="BU322" s="1771">
        <v>0</v>
      </c>
      <c r="BV322" s="1771">
        <v>0</v>
      </c>
      <c r="BW322" s="1771">
        <v>0</v>
      </c>
      <c r="BX322" s="1771">
        <v>0</v>
      </c>
      <c r="BY322" s="1771">
        <v>0</v>
      </c>
      <c r="BZ322" s="1771">
        <v>0</v>
      </c>
      <c r="CA322" s="1771">
        <v>0</v>
      </c>
      <c r="CB322" s="1771">
        <v>0</v>
      </c>
      <c r="CC322" s="1771">
        <v>0</v>
      </c>
      <c r="CD322" s="1771">
        <v>0</v>
      </c>
      <c r="CE322" s="1771">
        <v>0</v>
      </c>
      <c r="CF322" s="1771">
        <v>0</v>
      </c>
      <c r="CG322" s="1771">
        <v>0</v>
      </c>
      <c r="CH322" s="1771">
        <v>0</v>
      </c>
      <c r="CI322" s="1771">
        <v>0</v>
      </c>
      <c r="CJ322" s="1771">
        <v>0</v>
      </c>
      <c r="CK322" s="1771">
        <v>0</v>
      </c>
      <c r="CL322" s="1771">
        <v>0</v>
      </c>
      <c r="CM322" s="1771">
        <v>0</v>
      </c>
      <c r="CN322" s="1771">
        <v>0</v>
      </c>
      <c r="CO322" s="1771">
        <v>0</v>
      </c>
      <c r="CP322" s="1771">
        <v>0</v>
      </c>
    </row>
    <row r="323" spans="1:94" ht="15" customHeight="1" thickBot="1" x14ac:dyDescent="0.25">
      <c r="A323" s="1848"/>
      <c r="B323" s="1857"/>
      <c r="C323" s="880" t="s">
        <v>1990</v>
      </c>
      <c r="D323" s="950"/>
      <c r="E323" s="1882"/>
      <c r="F323" s="1225"/>
      <c r="G323" s="1767">
        <v>0</v>
      </c>
      <c r="H323" s="1771">
        <v>0</v>
      </c>
      <c r="I323" s="1771">
        <v>0</v>
      </c>
      <c r="J323" s="1771">
        <v>0</v>
      </c>
      <c r="K323" s="1771">
        <v>0</v>
      </c>
      <c r="L323" s="1771">
        <v>0</v>
      </c>
      <c r="M323" s="1771">
        <v>0</v>
      </c>
      <c r="N323" s="1771">
        <v>0</v>
      </c>
      <c r="O323" s="1771">
        <v>0</v>
      </c>
      <c r="P323" s="1771">
        <v>0</v>
      </c>
      <c r="Q323" s="1771">
        <v>0</v>
      </c>
      <c r="R323" s="1771">
        <v>0</v>
      </c>
      <c r="S323" s="1771">
        <v>0</v>
      </c>
      <c r="T323" s="1771">
        <v>0</v>
      </c>
      <c r="U323" s="1771">
        <v>0</v>
      </c>
      <c r="V323" s="1771">
        <v>0</v>
      </c>
      <c r="W323" s="1771">
        <v>0</v>
      </c>
      <c r="X323" s="1771">
        <v>0</v>
      </c>
      <c r="Y323" s="1771">
        <v>0</v>
      </c>
      <c r="Z323" s="1771">
        <v>0</v>
      </c>
      <c r="AA323" s="1771">
        <v>0</v>
      </c>
      <c r="AB323" s="1771">
        <v>0</v>
      </c>
      <c r="AC323" s="1771">
        <v>0</v>
      </c>
      <c r="AD323" s="1771">
        <v>0</v>
      </c>
      <c r="AE323" s="1771">
        <v>0</v>
      </c>
      <c r="AF323" s="1771">
        <v>0</v>
      </c>
      <c r="AG323" s="1771">
        <v>0</v>
      </c>
      <c r="AH323" s="1771">
        <v>0</v>
      </c>
      <c r="AI323" s="1771">
        <v>0</v>
      </c>
      <c r="AJ323" s="1771">
        <v>0</v>
      </c>
      <c r="AK323" s="1771">
        <v>0</v>
      </c>
      <c r="AL323" s="1771">
        <v>0</v>
      </c>
      <c r="AM323" s="1771">
        <v>0</v>
      </c>
      <c r="AN323" s="1771">
        <v>0</v>
      </c>
      <c r="AO323" s="1771">
        <v>0</v>
      </c>
      <c r="AP323" s="1771">
        <v>0</v>
      </c>
      <c r="AQ323" s="1771">
        <v>0</v>
      </c>
      <c r="AR323" s="1771">
        <v>0</v>
      </c>
      <c r="AS323" s="1771">
        <v>0</v>
      </c>
      <c r="AT323" s="1771">
        <v>0</v>
      </c>
      <c r="AU323" s="1771">
        <v>0</v>
      </c>
      <c r="AV323" s="1771">
        <v>0</v>
      </c>
      <c r="AW323" s="1771">
        <v>0</v>
      </c>
      <c r="AX323" s="1771">
        <v>0</v>
      </c>
      <c r="AY323" s="1771">
        <v>0</v>
      </c>
      <c r="AZ323" s="1771">
        <v>0</v>
      </c>
      <c r="BA323" s="1771">
        <v>0</v>
      </c>
      <c r="BB323" s="1771">
        <v>0</v>
      </c>
      <c r="BC323" s="1771">
        <v>0</v>
      </c>
      <c r="BD323" s="1771">
        <v>0</v>
      </c>
      <c r="BE323" s="1771">
        <v>0</v>
      </c>
      <c r="BF323" s="1771">
        <v>0</v>
      </c>
      <c r="BG323" s="1771">
        <v>0</v>
      </c>
      <c r="BH323" s="1771">
        <v>0</v>
      </c>
      <c r="BI323" s="1771">
        <v>0</v>
      </c>
      <c r="BJ323" s="1771">
        <v>0</v>
      </c>
      <c r="BK323" s="1771">
        <v>0</v>
      </c>
      <c r="BL323" s="1771">
        <v>0</v>
      </c>
      <c r="BM323" s="1771">
        <v>0</v>
      </c>
      <c r="BN323" s="1771">
        <v>0</v>
      </c>
      <c r="BO323" s="1771">
        <v>0</v>
      </c>
      <c r="BP323" s="1771">
        <v>0</v>
      </c>
      <c r="BQ323" s="1771">
        <v>0</v>
      </c>
      <c r="BR323" s="1771">
        <v>0</v>
      </c>
      <c r="BS323" s="1771">
        <v>0</v>
      </c>
      <c r="BT323" s="1771">
        <v>0</v>
      </c>
      <c r="BU323" s="1771">
        <v>0</v>
      </c>
      <c r="BV323" s="1771">
        <v>0</v>
      </c>
      <c r="BW323" s="1771">
        <v>0</v>
      </c>
      <c r="BX323" s="1771">
        <v>0</v>
      </c>
      <c r="BY323" s="1771">
        <v>0</v>
      </c>
      <c r="BZ323" s="1771">
        <v>0</v>
      </c>
      <c r="CA323" s="1771">
        <v>0</v>
      </c>
      <c r="CB323" s="1771">
        <v>0</v>
      </c>
      <c r="CC323" s="1771">
        <v>0</v>
      </c>
      <c r="CD323" s="1771">
        <v>0</v>
      </c>
      <c r="CE323" s="1771">
        <v>0</v>
      </c>
      <c r="CF323" s="1771">
        <v>0</v>
      </c>
      <c r="CG323" s="1771">
        <v>0</v>
      </c>
      <c r="CH323" s="1771">
        <v>0</v>
      </c>
      <c r="CI323" s="1771">
        <v>0</v>
      </c>
      <c r="CJ323" s="1771">
        <v>0</v>
      </c>
      <c r="CK323" s="1771">
        <v>0</v>
      </c>
      <c r="CL323" s="1771">
        <v>0</v>
      </c>
      <c r="CM323" s="1771">
        <v>0</v>
      </c>
      <c r="CN323" s="1771">
        <v>0</v>
      </c>
      <c r="CO323" s="1771">
        <v>0</v>
      </c>
      <c r="CP323" s="1771">
        <v>0</v>
      </c>
    </row>
    <row r="324" spans="1:94" ht="57" customHeight="1" thickBot="1" x14ac:dyDescent="0.25">
      <c r="A324" s="1858" t="s">
        <v>1999</v>
      </c>
      <c r="B324" s="1834" t="s">
        <v>1991</v>
      </c>
      <c r="C324" s="1790" t="s">
        <v>2276</v>
      </c>
      <c r="D324" s="975"/>
      <c r="E324" s="1911" t="s">
        <v>2351</v>
      </c>
      <c r="F324" s="1225"/>
      <c r="G324" s="1770"/>
      <c r="H324" s="1770"/>
      <c r="I324" s="1770"/>
      <c r="J324" s="1770"/>
      <c r="K324" s="1770"/>
      <c r="L324" s="1770"/>
      <c r="M324" s="1770"/>
      <c r="N324" s="1770"/>
      <c r="O324" s="1770"/>
      <c r="P324" s="1770"/>
      <c r="Q324" s="1770"/>
      <c r="R324" s="1770"/>
      <c r="S324" s="1770"/>
      <c r="T324" s="1770"/>
      <c r="U324" s="1770"/>
      <c r="V324" s="1770"/>
      <c r="W324" s="1770"/>
      <c r="X324" s="1770"/>
      <c r="Y324" s="1770"/>
      <c r="Z324" s="1770"/>
      <c r="AA324" s="1770"/>
      <c r="AB324" s="1770"/>
      <c r="AC324" s="1770"/>
      <c r="AD324" s="1770"/>
      <c r="AE324" s="1770"/>
      <c r="AF324" s="1770"/>
      <c r="AG324" s="1770"/>
      <c r="AH324" s="1770"/>
      <c r="AI324" s="1770"/>
      <c r="AJ324" s="1770"/>
      <c r="AK324" s="1770"/>
      <c r="AL324" s="1770"/>
      <c r="AM324" s="1770"/>
      <c r="AN324" s="1770"/>
      <c r="AO324" s="1770"/>
      <c r="AP324" s="1770"/>
      <c r="AQ324" s="1770"/>
      <c r="AR324" s="1770"/>
      <c r="AS324" s="1770"/>
      <c r="AT324" s="1770"/>
      <c r="AU324" s="1770"/>
      <c r="AV324" s="1770"/>
      <c r="AW324" s="1770"/>
      <c r="AX324" s="1770"/>
      <c r="AY324" s="1770"/>
      <c r="AZ324" s="1770"/>
      <c r="BA324" s="1770"/>
      <c r="BB324" s="1770"/>
      <c r="BC324" s="1770"/>
      <c r="BD324" s="1770"/>
      <c r="BE324" s="1770"/>
      <c r="BF324" s="1770"/>
      <c r="BG324" s="1770"/>
      <c r="BH324" s="1770"/>
      <c r="BI324" s="1770"/>
      <c r="BJ324" s="1770"/>
      <c r="BK324" s="1770"/>
      <c r="BL324" s="1770"/>
      <c r="BM324" s="1770"/>
      <c r="BN324" s="1770"/>
      <c r="BO324" s="1770"/>
      <c r="BP324" s="1770"/>
      <c r="BQ324" s="1770"/>
      <c r="BR324" s="1770"/>
      <c r="BS324" s="1770"/>
      <c r="BT324" s="1770"/>
      <c r="BU324" s="1770"/>
      <c r="BV324" s="1770"/>
      <c r="BW324" s="1770"/>
      <c r="BX324" s="1770"/>
      <c r="BY324" s="1770"/>
      <c r="BZ324" s="1770"/>
      <c r="CA324" s="1770"/>
      <c r="CB324" s="1770"/>
      <c r="CC324" s="1770"/>
      <c r="CD324" s="1770"/>
      <c r="CE324" s="1770"/>
      <c r="CF324" s="1770"/>
      <c r="CG324" s="1770"/>
      <c r="CH324" s="1770"/>
      <c r="CI324" s="1770"/>
      <c r="CJ324" s="1770"/>
      <c r="CK324" s="1770"/>
      <c r="CL324" s="1770"/>
      <c r="CM324" s="1770"/>
      <c r="CN324" s="1770"/>
      <c r="CO324" s="1770"/>
      <c r="CP324" s="1770"/>
    </row>
    <row r="325" spans="1:94" ht="15" customHeight="1" x14ac:dyDescent="0.2">
      <c r="A325" s="1847"/>
      <c r="B325" s="1834"/>
      <c r="C325" s="662" t="s">
        <v>2062</v>
      </c>
      <c r="D325" s="936"/>
      <c r="E325" s="1881"/>
      <c r="F325" s="1225"/>
      <c r="G325" s="1767">
        <v>0</v>
      </c>
      <c r="H325" s="1771">
        <v>0</v>
      </c>
      <c r="I325" s="1771">
        <v>0</v>
      </c>
      <c r="J325" s="1771">
        <v>0</v>
      </c>
      <c r="K325" s="1771">
        <v>0</v>
      </c>
      <c r="L325" s="1771">
        <v>0</v>
      </c>
      <c r="M325" s="1771">
        <v>0</v>
      </c>
      <c r="N325" s="1771">
        <v>0</v>
      </c>
      <c r="O325" s="1771">
        <v>0</v>
      </c>
      <c r="P325" s="1771">
        <v>0</v>
      </c>
      <c r="Q325" s="1771">
        <v>0</v>
      </c>
      <c r="R325" s="1771">
        <v>0</v>
      </c>
      <c r="S325" s="1771">
        <v>0</v>
      </c>
      <c r="T325" s="1771">
        <v>0</v>
      </c>
      <c r="U325" s="1771">
        <v>0</v>
      </c>
      <c r="V325" s="1771">
        <v>0</v>
      </c>
      <c r="W325" s="1771">
        <v>0</v>
      </c>
      <c r="X325" s="1771">
        <v>0</v>
      </c>
      <c r="Y325" s="1771">
        <v>0</v>
      </c>
      <c r="Z325" s="1771">
        <v>0</v>
      </c>
      <c r="AA325" s="1771">
        <v>0</v>
      </c>
      <c r="AB325" s="1771">
        <v>0</v>
      </c>
      <c r="AC325" s="1771">
        <v>0</v>
      </c>
      <c r="AD325" s="1771">
        <v>0</v>
      </c>
      <c r="AE325" s="1771">
        <v>0</v>
      </c>
      <c r="AF325" s="1771">
        <v>0</v>
      </c>
      <c r="AG325" s="1771">
        <v>0</v>
      </c>
      <c r="AH325" s="1771">
        <v>0</v>
      </c>
      <c r="AI325" s="1771">
        <v>0</v>
      </c>
      <c r="AJ325" s="1771">
        <v>0</v>
      </c>
      <c r="AK325" s="1771">
        <v>0</v>
      </c>
      <c r="AL325" s="1771">
        <v>0</v>
      </c>
      <c r="AM325" s="1771">
        <v>0</v>
      </c>
      <c r="AN325" s="1771">
        <v>0</v>
      </c>
      <c r="AO325" s="1771">
        <v>0</v>
      </c>
      <c r="AP325" s="1771">
        <v>0</v>
      </c>
      <c r="AQ325" s="1771">
        <v>0</v>
      </c>
      <c r="AR325" s="1771">
        <v>0</v>
      </c>
      <c r="AS325" s="1771">
        <v>0</v>
      </c>
      <c r="AT325" s="1771">
        <v>0</v>
      </c>
      <c r="AU325" s="1771">
        <v>0</v>
      </c>
      <c r="AV325" s="1771">
        <v>0</v>
      </c>
      <c r="AW325" s="1771">
        <v>0</v>
      </c>
      <c r="AX325" s="1771">
        <v>0</v>
      </c>
      <c r="AY325" s="1771">
        <v>0</v>
      </c>
      <c r="AZ325" s="1771">
        <v>0</v>
      </c>
      <c r="BA325" s="1771">
        <v>0</v>
      </c>
      <c r="BB325" s="1771">
        <v>0</v>
      </c>
      <c r="BC325" s="1771">
        <v>0</v>
      </c>
      <c r="BD325" s="1771">
        <v>0</v>
      </c>
      <c r="BE325" s="1771">
        <v>0</v>
      </c>
      <c r="BF325" s="1771">
        <v>0</v>
      </c>
      <c r="BG325" s="1771">
        <v>0</v>
      </c>
      <c r="BH325" s="1771">
        <v>0</v>
      </c>
      <c r="BI325" s="1771">
        <v>0</v>
      </c>
      <c r="BJ325" s="1771">
        <v>0</v>
      </c>
      <c r="BK325" s="1771">
        <v>0</v>
      </c>
      <c r="BL325" s="1771">
        <v>0</v>
      </c>
      <c r="BM325" s="1771">
        <v>0</v>
      </c>
      <c r="BN325" s="1771">
        <v>0</v>
      </c>
      <c r="BO325" s="1771">
        <v>0</v>
      </c>
      <c r="BP325" s="1771">
        <v>0</v>
      </c>
      <c r="BQ325" s="1771">
        <v>0</v>
      </c>
      <c r="BR325" s="1771">
        <v>0</v>
      </c>
      <c r="BS325" s="1771">
        <v>0</v>
      </c>
      <c r="BT325" s="1771">
        <v>0</v>
      </c>
      <c r="BU325" s="1771">
        <v>0</v>
      </c>
      <c r="BV325" s="1771">
        <v>0</v>
      </c>
      <c r="BW325" s="1771">
        <v>0</v>
      </c>
      <c r="BX325" s="1771">
        <v>0</v>
      </c>
      <c r="BY325" s="1771">
        <v>0</v>
      </c>
      <c r="BZ325" s="1771">
        <v>0</v>
      </c>
      <c r="CA325" s="1771">
        <v>0</v>
      </c>
      <c r="CB325" s="1771">
        <v>0</v>
      </c>
      <c r="CC325" s="1771">
        <v>0</v>
      </c>
      <c r="CD325" s="1771">
        <v>0</v>
      </c>
      <c r="CE325" s="1771">
        <v>0</v>
      </c>
      <c r="CF325" s="1771">
        <v>0</v>
      </c>
      <c r="CG325" s="1771">
        <v>0</v>
      </c>
      <c r="CH325" s="1771">
        <v>0</v>
      </c>
      <c r="CI325" s="1771">
        <v>0</v>
      </c>
      <c r="CJ325" s="1771">
        <v>0</v>
      </c>
      <c r="CK325" s="1771">
        <v>0</v>
      </c>
      <c r="CL325" s="1771">
        <v>0</v>
      </c>
      <c r="CM325" s="1771">
        <v>0</v>
      </c>
      <c r="CN325" s="1771">
        <v>0</v>
      </c>
      <c r="CO325" s="1771">
        <v>0</v>
      </c>
      <c r="CP325" s="1771">
        <v>0</v>
      </c>
    </row>
    <row r="326" spans="1:94" ht="15" customHeight="1" x14ac:dyDescent="0.2">
      <c r="A326" s="1847"/>
      <c r="B326" s="1834"/>
      <c r="C326" s="663" t="s">
        <v>1992</v>
      </c>
      <c r="D326" s="936"/>
      <c r="E326" s="1881"/>
      <c r="F326" s="1225"/>
      <c r="G326" s="1767">
        <v>0</v>
      </c>
      <c r="H326" s="1771">
        <v>0</v>
      </c>
      <c r="I326" s="1771">
        <v>0</v>
      </c>
      <c r="J326" s="1771">
        <v>0</v>
      </c>
      <c r="K326" s="1771">
        <v>0</v>
      </c>
      <c r="L326" s="1771">
        <v>0</v>
      </c>
      <c r="M326" s="1771">
        <v>0</v>
      </c>
      <c r="N326" s="1771">
        <v>0</v>
      </c>
      <c r="O326" s="1771">
        <v>0</v>
      </c>
      <c r="P326" s="1771">
        <v>0</v>
      </c>
      <c r="Q326" s="1771">
        <v>0</v>
      </c>
      <c r="R326" s="1771">
        <v>0</v>
      </c>
      <c r="S326" s="1771">
        <v>0</v>
      </c>
      <c r="T326" s="1771">
        <v>0</v>
      </c>
      <c r="U326" s="1771">
        <v>0</v>
      </c>
      <c r="V326" s="1771">
        <v>0</v>
      </c>
      <c r="W326" s="1771">
        <v>0</v>
      </c>
      <c r="X326" s="1771">
        <v>0</v>
      </c>
      <c r="Y326" s="1771">
        <v>0</v>
      </c>
      <c r="Z326" s="1771">
        <v>0</v>
      </c>
      <c r="AA326" s="1771">
        <v>0</v>
      </c>
      <c r="AB326" s="1771">
        <v>0</v>
      </c>
      <c r="AC326" s="1771">
        <v>0</v>
      </c>
      <c r="AD326" s="1771">
        <v>0</v>
      </c>
      <c r="AE326" s="1771">
        <v>0</v>
      </c>
      <c r="AF326" s="1771">
        <v>0</v>
      </c>
      <c r="AG326" s="1771">
        <v>0</v>
      </c>
      <c r="AH326" s="1771">
        <v>0</v>
      </c>
      <c r="AI326" s="1771">
        <v>0</v>
      </c>
      <c r="AJ326" s="1771">
        <v>0</v>
      </c>
      <c r="AK326" s="1771">
        <v>0</v>
      </c>
      <c r="AL326" s="1771">
        <v>0</v>
      </c>
      <c r="AM326" s="1771">
        <v>0</v>
      </c>
      <c r="AN326" s="1771">
        <v>0</v>
      </c>
      <c r="AO326" s="1771">
        <v>0</v>
      </c>
      <c r="AP326" s="1771">
        <v>0</v>
      </c>
      <c r="AQ326" s="1771">
        <v>0</v>
      </c>
      <c r="AR326" s="1771">
        <v>0</v>
      </c>
      <c r="AS326" s="1771">
        <v>0</v>
      </c>
      <c r="AT326" s="1771">
        <v>0</v>
      </c>
      <c r="AU326" s="1771">
        <v>0</v>
      </c>
      <c r="AV326" s="1771">
        <v>0</v>
      </c>
      <c r="AW326" s="1771">
        <v>0</v>
      </c>
      <c r="AX326" s="1771">
        <v>0</v>
      </c>
      <c r="AY326" s="1771">
        <v>0</v>
      </c>
      <c r="AZ326" s="1771">
        <v>0</v>
      </c>
      <c r="BA326" s="1771">
        <v>0</v>
      </c>
      <c r="BB326" s="1771">
        <v>0</v>
      </c>
      <c r="BC326" s="1771">
        <v>0</v>
      </c>
      <c r="BD326" s="1771">
        <v>0</v>
      </c>
      <c r="BE326" s="1771">
        <v>0</v>
      </c>
      <c r="BF326" s="1771">
        <v>0</v>
      </c>
      <c r="BG326" s="1771">
        <v>0</v>
      </c>
      <c r="BH326" s="1771">
        <v>0</v>
      </c>
      <c r="BI326" s="1771">
        <v>0</v>
      </c>
      <c r="BJ326" s="1771">
        <v>0</v>
      </c>
      <c r="BK326" s="1771">
        <v>0</v>
      </c>
      <c r="BL326" s="1771">
        <v>0</v>
      </c>
      <c r="BM326" s="1771">
        <v>0</v>
      </c>
      <c r="BN326" s="1771">
        <v>0</v>
      </c>
      <c r="BO326" s="1771">
        <v>0</v>
      </c>
      <c r="BP326" s="1771">
        <v>0</v>
      </c>
      <c r="BQ326" s="1771">
        <v>0</v>
      </c>
      <c r="BR326" s="1771">
        <v>0</v>
      </c>
      <c r="BS326" s="1771">
        <v>0</v>
      </c>
      <c r="BT326" s="1771">
        <v>0</v>
      </c>
      <c r="BU326" s="1771">
        <v>0</v>
      </c>
      <c r="BV326" s="1771">
        <v>0</v>
      </c>
      <c r="BW326" s="1771">
        <v>0</v>
      </c>
      <c r="BX326" s="1771">
        <v>0</v>
      </c>
      <c r="BY326" s="1771">
        <v>0</v>
      </c>
      <c r="BZ326" s="1771">
        <v>0</v>
      </c>
      <c r="CA326" s="1771">
        <v>0</v>
      </c>
      <c r="CB326" s="1771">
        <v>0</v>
      </c>
      <c r="CC326" s="1771">
        <v>0</v>
      </c>
      <c r="CD326" s="1771">
        <v>0</v>
      </c>
      <c r="CE326" s="1771">
        <v>0</v>
      </c>
      <c r="CF326" s="1771">
        <v>0</v>
      </c>
      <c r="CG326" s="1771">
        <v>0</v>
      </c>
      <c r="CH326" s="1771">
        <v>0</v>
      </c>
      <c r="CI326" s="1771">
        <v>0</v>
      </c>
      <c r="CJ326" s="1771">
        <v>0</v>
      </c>
      <c r="CK326" s="1771">
        <v>0</v>
      </c>
      <c r="CL326" s="1771">
        <v>0</v>
      </c>
      <c r="CM326" s="1771">
        <v>0</v>
      </c>
      <c r="CN326" s="1771">
        <v>0</v>
      </c>
      <c r="CO326" s="1771">
        <v>0</v>
      </c>
      <c r="CP326" s="1771">
        <v>0</v>
      </c>
    </row>
    <row r="327" spans="1:94" ht="15" customHeight="1" x14ac:dyDescent="0.2">
      <c r="A327" s="1847"/>
      <c r="B327" s="1834"/>
      <c r="C327" s="663" t="s">
        <v>1993</v>
      </c>
      <c r="D327" s="936"/>
      <c r="E327" s="1881"/>
      <c r="F327" s="1225"/>
      <c r="G327" s="1767">
        <v>0</v>
      </c>
      <c r="H327" s="1771">
        <v>0</v>
      </c>
      <c r="I327" s="1771">
        <v>0</v>
      </c>
      <c r="J327" s="1771">
        <v>0</v>
      </c>
      <c r="K327" s="1771">
        <v>0</v>
      </c>
      <c r="L327" s="1771">
        <v>0</v>
      </c>
      <c r="M327" s="1771">
        <v>0</v>
      </c>
      <c r="N327" s="1771">
        <v>0</v>
      </c>
      <c r="O327" s="1771">
        <v>0</v>
      </c>
      <c r="P327" s="1771">
        <v>0</v>
      </c>
      <c r="Q327" s="1771">
        <v>0</v>
      </c>
      <c r="R327" s="1771">
        <v>0</v>
      </c>
      <c r="S327" s="1771">
        <v>0</v>
      </c>
      <c r="T327" s="1771">
        <v>0</v>
      </c>
      <c r="U327" s="1771">
        <v>0</v>
      </c>
      <c r="V327" s="1771">
        <v>0</v>
      </c>
      <c r="W327" s="1771">
        <v>0</v>
      </c>
      <c r="X327" s="1771">
        <v>0</v>
      </c>
      <c r="Y327" s="1771">
        <v>0</v>
      </c>
      <c r="Z327" s="1771">
        <v>0</v>
      </c>
      <c r="AA327" s="1771">
        <v>0</v>
      </c>
      <c r="AB327" s="1771">
        <v>0</v>
      </c>
      <c r="AC327" s="1771">
        <v>0</v>
      </c>
      <c r="AD327" s="1771">
        <v>0</v>
      </c>
      <c r="AE327" s="1771">
        <v>0</v>
      </c>
      <c r="AF327" s="1771">
        <v>0</v>
      </c>
      <c r="AG327" s="1771">
        <v>0</v>
      </c>
      <c r="AH327" s="1771">
        <v>0</v>
      </c>
      <c r="AI327" s="1771">
        <v>0</v>
      </c>
      <c r="AJ327" s="1771">
        <v>0</v>
      </c>
      <c r="AK327" s="1771">
        <v>0</v>
      </c>
      <c r="AL327" s="1771">
        <v>0</v>
      </c>
      <c r="AM327" s="1771">
        <v>0</v>
      </c>
      <c r="AN327" s="1771">
        <v>0</v>
      </c>
      <c r="AO327" s="1771">
        <v>0</v>
      </c>
      <c r="AP327" s="1771">
        <v>0</v>
      </c>
      <c r="AQ327" s="1771">
        <v>0</v>
      </c>
      <c r="AR327" s="1771">
        <v>0</v>
      </c>
      <c r="AS327" s="1771">
        <v>0</v>
      </c>
      <c r="AT327" s="1771">
        <v>0</v>
      </c>
      <c r="AU327" s="1771">
        <v>0</v>
      </c>
      <c r="AV327" s="1771">
        <v>0</v>
      </c>
      <c r="AW327" s="1771">
        <v>0</v>
      </c>
      <c r="AX327" s="1771">
        <v>0</v>
      </c>
      <c r="AY327" s="1771">
        <v>0</v>
      </c>
      <c r="AZ327" s="1771">
        <v>0</v>
      </c>
      <c r="BA327" s="1771">
        <v>0</v>
      </c>
      <c r="BB327" s="1771">
        <v>0</v>
      </c>
      <c r="BC327" s="1771">
        <v>0</v>
      </c>
      <c r="BD327" s="1771">
        <v>0</v>
      </c>
      <c r="BE327" s="1771">
        <v>0</v>
      </c>
      <c r="BF327" s="1771">
        <v>0</v>
      </c>
      <c r="BG327" s="1771">
        <v>0</v>
      </c>
      <c r="BH327" s="1771">
        <v>0</v>
      </c>
      <c r="BI327" s="1771">
        <v>0</v>
      </c>
      <c r="BJ327" s="1771">
        <v>0</v>
      </c>
      <c r="BK327" s="1771">
        <v>0</v>
      </c>
      <c r="BL327" s="1771">
        <v>0</v>
      </c>
      <c r="BM327" s="1771">
        <v>0</v>
      </c>
      <c r="BN327" s="1771">
        <v>0</v>
      </c>
      <c r="BO327" s="1771">
        <v>0</v>
      </c>
      <c r="BP327" s="1771">
        <v>0</v>
      </c>
      <c r="BQ327" s="1771">
        <v>0</v>
      </c>
      <c r="BR327" s="1771">
        <v>0</v>
      </c>
      <c r="BS327" s="1771">
        <v>0</v>
      </c>
      <c r="BT327" s="1771">
        <v>0</v>
      </c>
      <c r="BU327" s="1771">
        <v>0</v>
      </c>
      <c r="BV327" s="1771">
        <v>0</v>
      </c>
      <c r="BW327" s="1771">
        <v>0</v>
      </c>
      <c r="BX327" s="1771">
        <v>0</v>
      </c>
      <c r="BY327" s="1771">
        <v>0</v>
      </c>
      <c r="BZ327" s="1771">
        <v>0</v>
      </c>
      <c r="CA327" s="1771">
        <v>0</v>
      </c>
      <c r="CB327" s="1771">
        <v>0</v>
      </c>
      <c r="CC327" s="1771">
        <v>0</v>
      </c>
      <c r="CD327" s="1771">
        <v>0</v>
      </c>
      <c r="CE327" s="1771">
        <v>0</v>
      </c>
      <c r="CF327" s="1771">
        <v>0</v>
      </c>
      <c r="CG327" s="1771">
        <v>0</v>
      </c>
      <c r="CH327" s="1771">
        <v>0</v>
      </c>
      <c r="CI327" s="1771">
        <v>0</v>
      </c>
      <c r="CJ327" s="1771">
        <v>0</v>
      </c>
      <c r="CK327" s="1771">
        <v>0</v>
      </c>
      <c r="CL327" s="1771">
        <v>0</v>
      </c>
      <c r="CM327" s="1771">
        <v>0</v>
      </c>
      <c r="CN327" s="1771">
        <v>0</v>
      </c>
      <c r="CO327" s="1771">
        <v>0</v>
      </c>
      <c r="CP327" s="1771">
        <v>0</v>
      </c>
    </row>
    <row r="328" spans="1:94" ht="15" customHeight="1" x14ac:dyDescent="0.2">
      <c r="A328" s="1847"/>
      <c r="B328" s="1834"/>
      <c r="C328" s="663" t="s">
        <v>1994</v>
      </c>
      <c r="D328" s="936"/>
      <c r="E328" s="1881"/>
      <c r="F328" s="1225"/>
      <c r="G328" s="1767">
        <v>0</v>
      </c>
      <c r="H328" s="1771">
        <v>0</v>
      </c>
      <c r="I328" s="1771">
        <v>0</v>
      </c>
      <c r="J328" s="1771">
        <v>0</v>
      </c>
      <c r="K328" s="1771">
        <v>0</v>
      </c>
      <c r="L328" s="1771">
        <v>0</v>
      </c>
      <c r="M328" s="1771">
        <v>0</v>
      </c>
      <c r="N328" s="1771">
        <v>0</v>
      </c>
      <c r="O328" s="1771">
        <v>0</v>
      </c>
      <c r="P328" s="1771">
        <v>0</v>
      </c>
      <c r="Q328" s="1771">
        <v>0</v>
      </c>
      <c r="R328" s="1771">
        <v>0</v>
      </c>
      <c r="S328" s="1771">
        <v>0</v>
      </c>
      <c r="T328" s="1771">
        <v>0</v>
      </c>
      <c r="U328" s="1771">
        <v>0</v>
      </c>
      <c r="V328" s="1771">
        <v>0</v>
      </c>
      <c r="W328" s="1771">
        <v>0</v>
      </c>
      <c r="X328" s="1771">
        <v>0</v>
      </c>
      <c r="Y328" s="1771">
        <v>0</v>
      </c>
      <c r="Z328" s="1771">
        <v>0</v>
      </c>
      <c r="AA328" s="1771">
        <v>0</v>
      </c>
      <c r="AB328" s="1771">
        <v>0</v>
      </c>
      <c r="AC328" s="1771">
        <v>0</v>
      </c>
      <c r="AD328" s="1771">
        <v>0</v>
      </c>
      <c r="AE328" s="1771">
        <v>0</v>
      </c>
      <c r="AF328" s="1771">
        <v>0</v>
      </c>
      <c r="AG328" s="1771">
        <v>0</v>
      </c>
      <c r="AH328" s="1771">
        <v>0</v>
      </c>
      <c r="AI328" s="1771">
        <v>0</v>
      </c>
      <c r="AJ328" s="1771">
        <v>0</v>
      </c>
      <c r="AK328" s="1771">
        <v>0</v>
      </c>
      <c r="AL328" s="1771">
        <v>0</v>
      </c>
      <c r="AM328" s="1771">
        <v>0</v>
      </c>
      <c r="AN328" s="1771">
        <v>0</v>
      </c>
      <c r="AO328" s="1771">
        <v>0</v>
      </c>
      <c r="AP328" s="1771">
        <v>0</v>
      </c>
      <c r="AQ328" s="1771">
        <v>0</v>
      </c>
      <c r="AR328" s="1771">
        <v>0</v>
      </c>
      <c r="AS328" s="1771">
        <v>0</v>
      </c>
      <c r="AT328" s="1771">
        <v>0</v>
      </c>
      <c r="AU328" s="1771">
        <v>0</v>
      </c>
      <c r="AV328" s="1771">
        <v>0</v>
      </c>
      <c r="AW328" s="1771">
        <v>0</v>
      </c>
      <c r="AX328" s="1771">
        <v>0</v>
      </c>
      <c r="AY328" s="1771">
        <v>0</v>
      </c>
      <c r="AZ328" s="1771">
        <v>0</v>
      </c>
      <c r="BA328" s="1771">
        <v>0</v>
      </c>
      <c r="BB328" s="1771">
        <v>0</v>
      </c>
      <c r="BC328" s="1771">
        <v>0</v>
      </c>
      <c r="BD328" s="1771">
        <v>0</v>
      </c>
      <c r="BE328" s="1771">
        <v>0</v>
      </c>
      <c r="BF328" s="1771">
        <v>0</v>
      </c>
      <c r="BG328" s="1771">
        <v>0</v>
      </c>
      <c r="BH328" s="1771">
        <v>0</v>
      </c>
      <c r="BI328" s="1771">
        <v>0</v>
      </c>
      <c r="BJ328" s="1771">
        <v>0</v>
      </c>
      <c r="BK328" s="1771">
        <v>0</v>
      </c>
      <c r="BL328" s="1771">
        <v>0</v>
      </c>
      <c r="BM328" s="1771">
        <v>0</v>
      </c>
      <c r="BN328" s="1771">
        <v>0</v>
      </c>
      <c r="BO328" s="1771">
        <v>0</v>
      </c>
      <c r="BP328" s="1771">
        <v>0</v>
      </c>
      <c r="BQ328" s="1771">
        <v>0</v>
      </c>
      <c r="BR328" s="1771">
        <v>0</v>
      </c>
      <c r="BS328" s="1771">
        <v>0</v>
      </c>
      <c r="BT328" s="1771">
        <v>0</v>
      </c>
      <c r="BU328" s="1771">
        <v>0</v>
      </c>
      <c r="BV328" s="1771">
        <v>0</v>
      </c>
      <c r="BW328" s="1771">
        <v>0</v>
      </c>
      <c r="BX328" s="1771">
        <v>0</v>
      </c>
      <c r="BY328" s="1771">
        <v>0</v>
      </c>
      <c r="BZ328" s="1771">
        <v>0</v>
      </c>
      <c r="CA328" s="1771">
        <v>0</v>
      </c>
      <c r="CB328" s="1771">
        <v>0</v>
      </c>
      <c r="CC328" s="1771">
        <v>0</v>
      </c>
      <c r="CD328" s="1771">
        <v>0</v>
      </c>
      <c r="CE328" s="1771">
        <v>0</v>
      </c>
      <c r="CF328" s="1771">
        <v>0</v>
      </c>
      <c r="CG328" s="1771">
        <v>0</v>
      </c>
      <c r="CH328" s="1771">
        <v>0</v>
      </c>
      <c r="CI328" s="1771">
        <v>0</v>
      </c>
      <c r="CJ328" s="1771">
        <v>0</v>
      </c>
      <c r="CK328" s="1771">
        <v>0</v>
      </c>
      <c r="CL328" s="1771">
        <v>0</v>
      </c>
      <c r="CM328" s="1771">
        <v>0</v>
      </c>
      <c r="CN328" s="1771">
        <v>0</v>
      </c>
      <c r="CO328" s="1771">
        <v>0</v>
      </c>
      <c r="CP328" s="1771">
        <v>0</v>
      </c>
    </row>
    <row r="329" spans="1:94" ht="15" customHeight="1" x14ac:dyDescent="0.2">
      <c r="A329" s="1847"/>
      <c r="B329" s="1834"/>
      <c r="C329" s="663" t="s">
        <v>1995</v>
      </c>
      <c r="D329" s="936"/>
      <c r="E329" s="1881"/>
      <c r="F329" s="1225"/>
      <c r="G329" s="1767">
        <v>0</v>
      </c>
      <c r="H329" s="1771">
        <v>0</v>
      </c>
      <c r="I329" s="1771">
        <v>0</v>
      </c>
      <c r="J329" s="1771">
        <v>0</v>
      </c>
      <c r="K329" s="1771">
        <v>0</v>
      </c>
      <c r="L329" s="1771">
        <v>0</v>
      </c>
      <c r="M329" s="1771">
        <v>0</v>
      </c>
      <c r="N329" s="1771">
        <v>0</v>
      </c>
      <c r="O329" s="1771">
        <v>0</v>
      </c>
      <c r="P329" s="1771">
        <v>0</v>
      </c>
      <c r="Q329" s="1771">
        <v>0</v>
      </c>
      <c r="R329" s="1771">
        <v>0</v>
      </c>
      <c r="S329" s="1771">
        <v>0</v>
      </c>
      <c r="T329" s="1771">
        <v>0</v>
      </c>
      <c r="U329" s="1771">
        <v>0</v>
      </c>
      <c r="V329" s="1771">
        <v>0</v>
      </c>
      <c r="W329" s="1771">
        <v>0</v>
      </c>
      <c r="X329" s="1771">
        <v>0</v>
      </c>
      <c r="Y329" s="1771">
        <v>0</v>
      </c>
      <c r="Z329" s="1771">
        <v>0</v>
      </c>
      <c r="AA329" s="1771">
        <v>0</v>
      </c>
      <c r="AB329" s="1771">
        <v>0</v>
      </c>
      <c r="AC329" s="1771">
        <v>0</v>
      </c>
      <c r="AD329" s="1771">
        <v>0</v>
      </c>
      <c r="AE329" s="1771">
        <v>0</v>
      </c>
      <c r="AF329" s="1771">
        <v>0</v>
      </c>
      <c r="AG329" s="1771">
        <v>0</v>
      </c>
      <c r="AH329" s="1771">
        <v>0</v>
      </c>
      <c r="AI329" s="1771">
        <v>0</v>
      </c>
      <c r="AJ329" s="1771">
        <v>0</v>
      </c>
      <c r="AK329" s="1771">
        <v>0</v>
      </c>
      <c r="AL329" s="1771">
        <v>0</v>
      </c>
      <c r="AM329" s="1771">
        <v>0</v>
      </c>
      <c r="AN329" s="1771">
        <v>0</v>
      </c>
      <c r="AO329" s="1771">
        <v>0</v>
      </c>
      <c r="AP329" s="1771">
        <v>0</v>
      </c>
      <c r="AQ329" s="1771">
        <v>0</v>
      </c>
      <c r="AR329" s="1771">
        <v>0</v>
      </c>
      <c r="AS329" s="1771">
        <v>0</v>
      </c>
      <c r="AT329" s="1771">
        <v>0</v>
      </c>
      <c r="AU329" s="1771">
        <v>0</v>
      </c>
      <c r="AV329" s="1771">
        <v>0</v>
      </c>
      <c r="AW329" s="1771">
        <v>0</v>
      </c>
      <c r="AX329" s="1771">
        <v>0</v>
      </c>
      <c r="AY329" s="1771">
        <v>0</v>
      </c>
      <c r="AZ329" s="1771">
        <v>0</v>
      </c>
      <c r="BA329" s="1771">
        <v>0</v>
      </c>
      <c r="BB329" s="1771">
        <v>0</v>
      </c>
      <c r="BC329" s="1771">
        <v>0</v>
      </c>
      <c r="BD329" s="1771">
        <v>0</v>
      </c>
      <c r="BE329" s="1771">
        <v>0</v>
      </c>
      <c r="BF329" s="1771">
        <v>0</v>
      </c>
      <c r="BG329" s="1771">
        <v>0</v>
      </c>
      <c r="BH329" s="1771">
        <v>0</v>
      </c>
      <c r="BI329" s="1771">
        <v>0</v>
      </c>
      <c r="BJ329" s="1771">
        <v>0</v>
      </c>
      <c r="BK329" s="1771">
        <v>0</v>
      </c>
      <c r="BL329" s="1771">
        <v>0</v>
      </c>
      <c r="BM329" s="1771">
        <v>0</v>
      </c>
      <c r="BN329" s="1771">
        <v>0</v>
      </c>
      <c r="BO329" s="1771">
        <v>0</v>
      </c>
      <c r="BP329" s="1771">
        <v>0</v>
      </c>
      <c r="BQ329" s="1771">
        <v>0</v>
      </c>
      <c r="BR329" s="1771">
        <v>0</v>
      </c>
      <c r="BS329" s="1771">
        <v>0</v>
      </c>
      <c r="BT329" s="1771">
        <v>0</v>
      </c>
      <c r="BU329" s="1771">
        <v>0</v>
      </c>
      <c r="BV329" s="1771">
        <v>0</v>
      </c>
      <c r="BW329" s="1771">
        <v>0</v>
      </c>
      <c r="BX329" s="1771">
        <v>0</v>
      </c>
      <c r="BY329" s="1771">
        <v>0</v>
      </c>
      <c r="BZ329" s="1771">
        <v>0</v>
      </c>
      <c r="CA329" s="1771">
        <v>0</v>
      </c>
      <c r="CB329" s="1771">
        <v>0</v>
      </c>
      <c r="CC329" s="1771">
        <v>0</v>
      </c>
      <c r="CD329" s="1771">
        <v>0</v>
      </c>
      <c r="CE329" s="1771">
        <v>0</v>
      </c>
      <c r="CF329" s="1771">
        <v>0</v>
      </c>
      <c r="CG329" s="1771">
        <v>0</v>
      </c>
      <c r="CH329" s="1771">
        <v>0</v>
      </c>
      <c r="CI329" s="1771">
        <v>0</v>
      </c>
      <c r="CJ329" s="1771">
        <v>0</v>
      </c>
      <c r="CK329" s="1771">
        <v>0</v>
      </c>
      <c r="CL329" s="1771">
        <v>0</v>
      </c>
      <c r="CM329" s="1771">
        <v>0</v>
      </c>
      <c r="CN329" s="1771">
        <v>0</v>
      </c>
      <c r="CO329" s="1771">
        <v>0</v>
      </c>
      <c r="CP329" s="1771">
        <v>0</v>
      </c>
    </row>
    <row r="330" spans="1:94" ht="15" customHeight="1" thickBot="1" x14ac:dyDescent="0.25">
      <c r="A330" s="1847"/>
      <c r="B330" s="1834"/>
      <c r="C330" s="851" t="s">
        <v>1996</v>
      </c>
      <c r="D330" s="949"/>
      <c r="E330" s="1881"/>
      <c r="F330" s="1225"/>
      <c r="G330" s="1767">
        <v>0</v>
      </c>
      <c r="H330" s="1772">
        <v>0</v>
      </c>
      <c r="I330" s="1772">
        <v>0</v>
      </c>
      <c r="J330" s="1772">
        <v>0</v>
      </c>
      <c r="K330" s="1772">
        <v>0</v>
      </c>
      <c r="L330" s="1772">
        <v>0</v>
      </c>
      <c r="M330" s="1772">
        <v>0</v>
      </c>
      <c r="N330" s="1772">
        <v>0</v>
      </c>
      <c r="O330" s="1772">
        <v>0</v>
      </c>
      <c r="P330" s="1772">
        <v>0</v>
      </c>
      <c r="Q330" s="1772">
        <v>0</v>
      </c>
      <c r="R330" s="1772">
        <v>0</v>
      </c>
      <c r="S330" s="1772">
        <v>0</v>
      </c>
      <c r="T330" s="1772">
        <v>0</v>
      </c>
      <c r="U330" s="1772">
        <v>0</v>
      </c>
      <c r="V330" s="1772">
        <v>0</v>
      </c>
      <c r="W330" s="1772">
        <v>0</v>
      </c>
      <c r="X330" s="1772">
        <v>0</v>
      </c>
      <c r="Y330" s="1772">
        <v>0</v>
      </c>
      <c r="Z330" s="1772">
        <v>0</v>
      </c>
      <c r="AA330" s="1772">
        <v>0</v>
      </c>
      <c r="AB330" s="1772">
        <v>0</v>
      </c>
      <c r="AC330" s="1772">
        <v>0</v>
      </c>
      <c r="AD330" s="1772">
        <v>0</v>
      </c>
      <c r="AE330" s="1772">
        <v>0</v>
      </c>
      <c r="AF330" s="1772">
        <v>0</v>
      </c>
      <c r="AG330" s="1772">
        <v>0</v>
      </c>
      <c r="AH330" s="1772">
        <v>0</v>
      </c>
      <c r="AI330" s="1772">
        <v>0</v>
      </c>
      <c r="AJ330" s="1772">
        <v>0</v>
      </c>
      <c r="AK330" s="1772">
        <v>0</v>
      </c>
      <c r="AL330" s="1772">
        <v>0</v>
      </c>
      <c r="AM330" s="1772">
        <v>0</v>
      </c>
      <c r="AN330" s="1772">
        <v>0</v>
      </c>
      <c r="AO330" s="1772">
        <v>0</v>
      </c>
      <c r="AP330" s="1772">
        <v>0</v>
      </c>
      <c r="AQ330" s="1772">
        <v>0</v>
      </c>
      <c r="AR330" s="1772">
        <v>0</v>
      </c>
      <c r="AS330" s="1772">
        <v>0</v>
      </c>
      <c r="AT330" s="1772">
        <v>0</v>
      </c>
      <c r="AU330" s="1772">
        <v>0</v>
      </c>
      <c r="AV330" s="1772">
        <v>0</v>
      </c>
      <c r="AW330" s="1772">
        <v>0</v>
      </c>
      <c r="AX330" s="1772">
        <v>0</v>
      </c>
      <c r="AY330" s="1772">
        <v>0</v>
      </c>
      <c r="AZ330" s="1772">
        <v>0</v>
      </c>
      <c r="BA330" s="1772">
        <v>0</v>
      </c>
      <c r="BB330" s="1772">
        <v>0</v>
      </c>
      <c r="BC330" s="1772">
        <v>0</v>
      </c>
      <c r="BD330" s="1772">
        <v>0</v>
      </c>
      <c r="BE330" s="1772">
        <v>0</v>
      </c>
      <c r="BF330" s="1772">
        <v>0</v>
      </c>
      <c r="BG330" s="1772">
        <v>0</v>
      </c>
      <c r="BH330" s="1772">
        <v>0</v>
      </c>
      <c r="BI330" s="1772">
        <v>0</v>
      </c>
      <c r="BJ330" s="1772">
        <v>0</v>
      </c>
      <c r="BK330" s="1772">
        <v>0</v>
      </c>
      <c r="BL330" s="1772">
        <v>0</v>
      </c>
      <c r="BM330" s="1772">
        <v>0</v>
      </c>
      <c r="BN330" s="1772">
        <v>0</v>
      </c>
      <c r="BO330" s="1772">
        <v>0</v>
      </c>
      <c r="BP330" s="1772">
        <v>0</v>
      </c>
      <c r="BQ330" s="1772">
        <v>0</v>
      </c>
      <c r="BR330" s="1772">
        <v>0</v>
      </c>
      <c r="BS330" s="1772">
        <v>0</v>
      </c>
      <c r="BT330" s="1772">
        <v>0</v>
      </c>
      <c r="BU330" s="1772">
        <v>0</v>
      </c>
      <c r="BV330" s="1772">
        <v>0</v>
      </c>
      <c r="BW330" s="1772">
        <v>0</v>
      </c>
      <c r="BX330" s="1772">
        <v>0</v>
      </c>
      <c r="BY330" s="1772">
        <v>0</v>
      </c>
      <c r="BZ330" s="1772">
        <v>0</v>
      </c>
      <c r="CA330" s="1772">
        <v>0</v>
      </c>
      <c r="CB330" s="1772">
        <v>0</v>
      </c>
      <c r="CC330" s="1772">
        <v>0</v>
      </c>
      <c r="CD330" s="1772">
        <v>0</v>
      </c>
      <c r="CE330" s="1772">
        <v>0</v>
      </c>
      <c r="CF330" s="1772">
        <v>0</v>
      </c>
      <c r="CG330" s="1772">
        <v>0</v>
      </c>
      <c r="CH330" s="1772">
        <v>0</v>
      </c>
      <c r="CI330" s="1772">
        <v>0</v>
      </c>
      <c r="CJ330" s="1772">
        <v>0</v>
      </c>
      <c r="CK330" s="1772">
        <v>0</v>
      </c>
      <c r="CL330" s="1772">
        <v>0</v>
      </c>
      <c r="CM330" s="1772">
        <v>0</v>
      </c>
      <c r="CN330" s="1772">
        <v>0</v>
      </c>
      <c r="CO330" s="1772">
        <v>0</v>
      </c>
      <c r="CP330" s="1772">
        <v>0</v>
      </c>
    </row>
    <row r="331" spans="1:94" ht="68.25" customHeight="1" thickBot="1" x14ac:dyDescent="0.25">
      <c r="A331" s="1850" t="s">
        <v>1985</v>
      </c>
      <c r="B331" s="1850" t="s">
        <v>2241</v>
      </c>
      <c r="C331" s="1776" t="s">
        <v>2540</v>
      </c>
      <c r="D331" s="1238"/>
      <c r="E331" s="1910"/>
      <c r="F331" s="1225"/>
      <c r="G331" s="1737"/>
      <c r="H331" s="1737"/>
      <c r="I331" s="1737"/>
      <c r="J331" s="1737"/>
      <c r="K331" s="1737"/>
      <c r="L331" s="1737"/>
      <c r="M331" s="1737"/>
      <c r="N331" s="1737"/>
      <c r="O331" s="1737"/>
      <c r="P331" s="1737"/>
      <c r="Q331" s="1737"/>
      <c r="R331" s="1737"/>
      <c r="S331" s="1737"/>
      <c r="T331" s="1737"/>
      <c r="U331" s="1737"/>
      <c r="V331" s="1737"/>
      <c r="W331" s="1737"/>
      <c r="X331" s="1737"/>
      <c r="Y331" s="1737"/>
      <c r="Z331" s="1737"/>
      <c r="AA331" s="1737"/>
      <c r="AB331" s="1737"/>
      <c r="AC331" s="1737"/>
      <c r="AD331" s="1737"/>
      <c r="AE331" s="1737"/>
      <c r="AF331" s="1737"/>
      <c r="AG331" s="1737"/>
      <c r="AH331" s="1737"/>
      <c r="AI331" s="1737"/>
      <c r="AJ331" s="1737"/>
      <c r="AK331" s="1737"/>
      <c r="AL331" s="1737"/>
      <c r="AM331" s="1737"/>
      <c r="AN331" s="1737"/>
      <c r="AO331" s="1737"/>
      <c r="AP331" s="1737"/>
      <c r="AQ331" s="1737"/>
      <c r="AR331" s="1737"/>
      <c r="AS331" s="1737"/>
      <c r="AT331" s="1737"/>
      <c r="AU331" s="1737"/>
      <c r="AV331" s="1737"/>
      <c r="AW331" s="1737"/>
      <c r="AX331" s="1737"/>
      <c r="AY331" s="1737"/>
      <c r="AZ331" s="1737"/>
      <c r="BA331" s="1737"/>
      <c r="BB331" s="1737"/>
      <c r="BC331" s="1737"/>
      <c r="BD331" s="1737"/>
      <c r="BE331" s="1737"/>
      <c r="BF331" s="1737"/>
      <c r="BG331" s="1737"/>
      <c r="BH331" s="1737"/>
      <c r="BI331" s="1737"/>
      <c r="BJ331" s="1737"/>
      <c r="BK331" s="1737"/>
      <c r="BL331" s="1737"/>
      <c r="BM331" s="1737"/>
      <c r="BN331" s="1737"/>
      <c r="BO331" s="1737"/>
      <c r="BP331" s="1737"/>
      <c r="BQ331" s="1737"/>
      <c r="BR331" s="1737"/>
      <c r="BS331" s="1737"/>
      <c r="BT331" s="1737"/>
      <c r="BU331" s="1737"/>
      <c r="BV331" s="1737"/>
      <c r="BW331" s="1737"/>
      <c r="BX331" s="1737"/>
      <c r="BY331" s="1737"/>
      <c r="BZ331" s="1737"/>
      <c r="CA331" s="1737"/>
      <c r="CB331" s="1737"/>
      <c r="CC331" s="1737"/>
      <c r="CD331" s="1737"/>
      <c r="CE331" s="1737"/>
      <c r="CF331" s="1737"/>
      <c r="CG331" s="1737"/>
      <c r="CH331" s="1737"/>
      <c r="CI331" s="1737"/>
      <c r="CJ331" s="1737"/>
      <c r="CK331" s="1737"/>
      <c r="CL331" s="1737"/>
      <c r="CM331" s="1737"/>
      <c r="CN331" s="1737"/>
      <c r="CO331" s="1737"/>
      <c r="CP331" s="1737"/>
    </row>
    <row r="332" spans="1:94" ht="15" customHeight="1" x14ac:dyDescent="0.2">
      <c r="A332" s="1851"/>
      <c r="B332" s="1851"/>
      <c r="C332" s="1282" t="s">
        <v>2373</v>
      </c>
      <c r="D332" s="1239"/>
      <c r="E332" s="1881"/>
      <c r="F332" s="1225"/>
      <c r="G332" s="1769">
        <v>0</v>
      </c>
      <c r="H332" s="1769">
        <v>0</v>
      </c>
      <c r="I332" s="1769">
        <v>0</v>
      </c>
      <c r="J332" s="1769">
        <v>0</v>
      </c>
      <c r="K332" s="1769">
        <v>0</v>
      </c>
      <c r="L332" s="1769">
        <v>0</v>
      </c>
      <c r="M332" s="1769">
        <v>0</v>
      </c>
      <c r="N332" s="1769">
        <v>0</v>
      </c>
      <c r="O332" s="1769">
        <v>0</v>
      </c>
      <c r="P332" s="1769">
        <v>0</v>
      </c>
      <c r="Q332" s="1769">
        <v>0</v>
      </c>
      <c r="R332" s="1769">
        <v>0</v>
      </c>
      <c r="S332" s="1769">
        <v>0</v>
      </c>
      <c r="T332" s="1769">
        <v>0</v>
      </c>
      <c r="U332" s="1769">
        <v>0</v>
      </c>
      <c r="V332" s="1769">
        <v>0</v>
      </c>
      <c r="W332" s="1769">
        <v>0</v>
      </c>
      <c r="X332" s="1769">
        <v>0</v>
      </c>
      <c r="Y332" s="1769">
        <v>0</v>
      </c>
      <c r="Z332" s="1769">
        <v>0</v>
      </c>
      <c r="AA332" s="1769">
        <v>0</v>
      </c>
      <c r="AB332" s="1769">
        <v>0</v>
      </c>
      <c r="AC332" s="1769">
        <v>0</v>
      </c>
      <c r="AD332" s="1769">
        <v>0</v>
      </c>
      <c r="AE332" s="1769">
        <v>0</v>
      </c>
      <c r="AF332" s="1769">
        <v>0</v>
      </c>
      <c r="AG332" s="1769">
        <v>0</v>
      </c>
      <c r="AH332" s="1769">
        <v>0</v>
      </c>
      <c r="AI332" s="1769">
        <v>0</v>
      </c>
      <c r="AJ332" s="1769">
        <v>0</v>
      </c>
      <c r="AK332" s="1769">
        <v>0</v>
      </c>
      <c r="AL332" s="1769">
        <v>0</v>
      </c>
      <c r="AM332" s="1769">
        <v>0</v>
      </c>
      <c r="AN332" s="1769">
        <v>0</v>
      </c>
      <c r="AO332" s="1769">
        <v>0</v>
      </c>
      <c r="AP332" s="1769">
        <v>0</v>
      </c>
      <c r="AQ332" s="1769">
        <v>0</v>
      </c>
      <c r="AR332" s="1769">
        <v>0</v>
      </c>
      <c r="AS332" s="1769">
        <v>0</v>
      </c>
      <c r="AT332" s="1769">
        <v>0</v>
      </c>
      <c r="AU332" s="1769">
        <v>0</v>
      </c>
      <c r="AV332" s="1769">
        <v>0</v>
      </c>
      <c r="AW332" s="1769">
        <v>0</v>
      </c>
      <c r="AX332" s="1769">
        <v>0</v>
      </c>
      <c r="AY332" s="1769">
        <v>0</v>
      </c>
      <c r="AZ332" s="1769">
        <v>0</v>
      </c>
      <c r="BA332" s="1769">
        <v>0</v>
      </c>
      <c r="BB332" s="1769">
        <v>0</v>
      </c>
      <c r="BC332" s="1769">
        <v>0</v>
      </c>
      <c r="BD332" s="1769">
        <v>0</v>
      </c>
      <c r="BE332" s="1769">
        <v>0</v>
      </c>
      <c r="BF332" s="1769">
        <v>0</v>
      </c>
      <c r="BG332" s="1769">
        <v>0</v>
      </c>
      <c r="BH332" s="1769">
        <v>0</v>
      </c>
      <c r="BI332" s="1769">
        <v>0</v>
      </c>
      <c r="BJ332" s="1769">
        <v>0</v>
      </c>
      <c r="BK332" s="1769">
        <v>0</v>
      </c>
      <c r="BL332" s="1769">
        <v>0</v>
      </c>
      <c r="BM332" s="1769">
        <v>0</v>
      </c>
      <c r="BN332" s="1769">
        <v>0</v>
      </c>
      <c r="BO332" s="1769">
        <v>0</v>
      </c>
      <c r="BP332" s="1769">
        <v>0</v>
      </c>
      <c r="BQ332" s="1769">
        <v>0</v>
      </c>
      <c r="BR332" s="1769">
        <v>0</v>
      </c>
      <c r="BS332" s="1769">
        <v>0</v>
      </c>
      <c r="BT332" s="1769">
        <v>0</v>
      </c>
      <c r="BU332" s="1769">
        <v>0</v>
      </c>
      <c r="BV332" s="1769">
        <v>0</v>
      </c>
      <c r="BW332" s="1769">
        <v>0</v>
      </c>
      <c r="BX332" s="1769">
        <v>0</v>
      </c>
      <c r="BY332" s="1769">
        <v>0</v>
      </c>
      <c r="BZ332" s="1769">
        <v>0</v>
      </c>
      <c r="CA332" s="1769">
        <v>0</v>
      </c>
      <c r="CB332" s="1769">
        <v>0</v>
      </c>
      <c r="CC332" s="1769">
        <v>0</v>
      </c>
      <c r="CD332" s="1769">
        <v>0</v>
      </c>
      <c r="CE332" s="1769">
        <v>0</v>
      </c>
      <c r="CF332" s="1769">
        <v>0</v>
      </c>
      <c r="CG332" s="1769">
        <v>0</v>
      </c>
      <c r="CH332" s="1769">
        <v>0</v>
      </c>
      <c r="CI332" s="1769">
        <v>0</v>
      </c>
      <c r="CJ332" s="1769">
        <v>0</v>
      </c>
      <c r="CK332" s="1769">
        <v>0</v>
      </c>
      <c r="CL332" s="1769">
        <v>0</v>
      </c>
      <c r="CM332" s="1769">
        <v>0</v>
      </c>
      <c r="CN332" s="1769">
        <v>0</v>
      </c>
      <c r="CO332" s="1769">
        <v>0</v>
      </c>
      <c r="CP332" s="1769">
        <v>0</v>
      </c>
    </row>
    <row r="333" spans="1:94" ht="15" customHeight="1" x14ac:dyDescent="0.2">
      <c r="A333" s="1851"/>
      <c r="B333" s="1851"/>
      <c r="C333" s="1283" t="s">
        <v>2374</v>
      </c>
      <c r="D333" s="1239"/>
      <c r="E333" s="1881"/>
      <c r="F333" s="1225"/>
      <c r="G333" s="1769">
        <v>0</v>
      </c>
      <c r="H333" s="1769">
        <v>0</v>
      </c>
      <c r="I333" s="1769">
        <v>0</v>
      </c>
      <c r="J333" s="1769">
        <v>0</v>
      </c>
      <c r="K333" s="1769">
        <v>0</v>
      </c>
      <c r="L333" s="1769">
        <v>0</v>
      </c>
      <c r="M333" s="1769">
        <v>0</v>
      </c>
      <c r="N333" s="1769">
        <v>0</v>
      </c>
      <c r="O333" s="1769">
        <v>0</v>
      </c>
      <c r="P333" s="1769">
        <v>0</v>
      </c>
      <c r="Q333" s="1769">
        <v>0</v>
      </c>
      <c r="R333" s="1769">
        <v>0</v>
      </c>
      <c r="S333" s="1769">
        <v>0</v>
      </c>
      <c r="T333" s="1769">
        <v>0</v>
      </c>
      <c r="U333" s="1769">
        <v>0</v>
      </c>
      <c r="V333" s="1769">
        <v>0</v>
      </c>
      <c r="W333" s="1769">
        <v>0</v>
      </c>
      <c r="X333" s="1769">
        <v>0</v>
      </c>
      <c r="Y333" s="1769">
        <v>0</v>
      </c>
      <c r="Z333" s="1769">
        <v>0</v>
      </c>
      <c r="AA333" s="1769">
        <v>0</v>
      </c>
      <c r="AB333" s="1769">
        <v>0</v>
      </c>
      <c r="AC333" s="1769">
        <v>0</v>
      </c>
      <c r="AD333" s="1769">
        <v>0</v>
      </c>
      <c r="AE333" s="1769">
        <v>0</v>
      </c>
      <c r="AF333" s="1769">
        <v>0</v>
      </c>
      <c r="AG333" s="1769">
        <v>0</v>
      </c>
      <c r="AH333" s="1769">
        <v>0</v>
      </c>
      <c r="AI333" s="1769">
        <v>0</v>
      </c>
      <c r="AJ333" s="1769">
        <v>0</v>
      </c>
      <c r="AK333" s="1769">
        <v>0</v>
      </c>
      <c r="AL333" s="1769">
        <v>0</v>
      </c>
      <c r="AM333" s="1769">
        <v>0</v>
      </c>
      <c r="AN333" s="1769">
        <v>0</v>
      </c>
      <c r="AO333" s="1769">
        <v>0</v>
      </c>
      <c r="AP333" s="1769">
        <v>0</v>
      </c>
      <c r="AQ333" s="1769">
        <v>0</v>
      </c>
      <c r="AR333" s="1769">
        <v>0</v>
      </c>
      <c r="AS333" s="1769">
        <v>0</v>
      </c>
      <c r="AT333" s="1769">
        <v>0</v>
      </c>
      <c r="AU333" s="1769">
        <v>0</v>
      </c>
      <c r="AV333" s="1769">
        <v>0</v>
      </c>
      <c r="AW333" s="1769">
        <v>0</v>
      </c>
      <c r="AX333" s="1769">
        <v>0</v>
      </c>
      <c r="AY333" s="1769">
        <v>0</v>
      </c>
      <c r="AZ333" s="1769">
        <v>0</v>
      </c>
      <c r="BA333" s="1769">
        <v>0</v>
      </c>
      <c r="BB333" s="1769">
        <v>0</v>
      </c>
      <c r="BC333" s="1769">
        <v>0</v>
      </c>
      <c r="BD333" s="1769">
        <v>0</v>
      </c>
      <c r="BE333" s="1769">
        <v>0</v>
      </c>
      <c r="BF333" s="1769">
        <v>0</v>
      </c>
      <c r="BG333" s="1769">
        <v>0</v>
      </c>
      <c r="BH333" s="1769">
        <v>0</v>
      </c>
      <c r="BI333" s="1769">
        <v>0</v>
      </c>
      <c r="BJ333" s="1769">
        <v>0</v>
      </c>
      <c r="BK333" s="1769">
        <v>0</v>
      </c>
      <c r="BL333" s="1769">
        <v>0</v>
      </c>
      <c r="BM333" s="1769">
        <v>0</v>
      </c>
      <c r="BN333" s="1769">
        <v>0</v>
      </c>
      <c r="BO333" s="1769">
        <v>0</v>
      </c>
      <c r="BP333" s="1769">
        <v>0</v>
      </c>
      <c r="BQ333" s="1769">
        <v>0</v>
      </c>
      <c r="BR333" s="1769">
        <v>0</v>
      </c>
      <c r="BS333" s="1769">
        <v>0</v>
      </c>
      <c r="BT333" s="1769">
        <v>0</v>
      </c>
      <c r="BU333" s="1769">
        <v>0</v>
      </c>
      <c r="BV333" s="1769">
        <v>0</v>
      </c>
      <c r="BW333" s="1769">
        <v>0</v>
      </c>
      <c r="BX333" s="1769">
        <v>0</v>
      </c>
      <c r="BY333" s="1769">
        <v>0</v>
      </c>
      <c r="BZ333" s="1769">
        <v>0</v>
      </c>
      <c r="CA333" s="1769">
        <v>0</v>
      </c>
      <c r="CB333" s="1769">
        <v>0</v>
      </c>
      <c r="CC333" s="1769">
        <v>0</v>
      </c>
      <c r="CD333" s="1769">
        <v>0</v>
      </c>
      <c r="CE333" s="1769">
        <v>0</v>
      </c>
      <c r="CF333" s="1769">
        <v>0</v>
      </c>
      <c r="CG333" s="1769">
        <v>0</v>
      </c>
      <c r="CH333" s="1769">
        <v>0</v>
      </c>
      <c r="CI333" s="1769">
        <v>0</v>
      </c>
      <c r="CJ333" s="1769">
        <v>0</v>
      </c>
      <c r="CK333" s="1769">
        <v>0</v>
      </c>
      <c r="CL333" s="1769">
        <v>0</v>
      </c>
      <c r="CM333" s="1769">
        <v>0</v>
      </c>
      <c r="CN333" s="1769">
        <v>0</v>
      </c>
      <c r="CO333" s="1769">
        <v>0</v>
      </c>
      <c r="CP333" s="1769">
        <v>0</v>
      </c>
    </row>
    <row r="334" spans="1:94" ht="15" customHeight="1" x14ac:dyDescent="0.2">
      <c r="A334" s="1851"/>
      <c r="B334" s="1851"/>
      <c r="C334" s="1283" t="s">
        <v>2375</v>
      </c>
      <c r="D334" s="1239"/>
      <c r="E334" s="1881"/>
      <c r="F334" s="1741"/>
      <c r="G334" s="1769">
        <v>0</v>
      </c>
      <c r="H334" s="1769">
        <v>0</v>
      </c>
      <c r="I334" s="1769">
        <v>0</v>
      </c>
      <c r="J334" s="1769">
        <v>0</v>
      </c>
      <c r="K334" s="1769">
        <v>0</v>
      </c>
      <c r="L334" s="1769">
        <v>0</v>
      </c>
      <c r="M334" s="1769">
        <v>0</v>
      </c>
      <c r="N334" s="1769">
        <v>0</v>
      </c>
      <c r="O334" s="1769">
        <v>0</v>
      </c>
      <c r="P334" s="1769">
        <v>0</v>
      </c>
      <c r="Q334" s="1769">
        <v>0</v>
      </c>
      <c r="R334" s="1769">
        <v>0</v>
      </c>
      <c r="S334" s="1769">
        <v>0</v>
      </c>
      <c r="T334" s="1769">
        <v>0</v>
      </c>
      <c r="U334" s="1769">
        <v>0</v>
      </c>
      <c r="V334" s="1769">
        <v>0</v>
      </c>
      <c r="W334" s="1769">
        <v>0</v>
      </c>
      <c r="X334" s="1769">
        <v>0</v>
      </c>
      <c r="Y334" s="1769">
        <v>0</v>
      </c>
      <c r="Z334" s="1769">
        <v>0</v>
      </c>
      <c r="AA334" s="1769">
        <v>0</v>
      </c>
      <c r="AB334" s="1769">
        <v>0</v>
      </c>
      <c r="AC334" s="1769">
        <v>0</v>
      </c>
      <c r="AD334" s="1769">
        <v>0</v>
      </c>
      <c r="AE334" s="1769">
        <v>0</v>
      </c>
      <c r="AF334" s="1769">
        <v>0</v>
      </c>
      <c r="AG334" s="1769">
        <v>0</v>
      </c>
      <c r="AH334" s="1769">
        <v>0</v>
      </c>
      <c r="AI334" s="1769">
        <v>0</v>
      </c>
      <c r="AJ334" s="1769">
        <v>0</v>
      </c>
      <c r="AK334" s="1769">
        <v>0</v>
      </c>
      <c r="AL334" s="1769">
        <v>0</v>
      </c>
      <c r="AM334" s="1769">
        <v>0</v>
      </c>
      <c r="AN334" s="1769">
        <v>0</v>
      </c>
      <c r="AO334" s="1769">
        <v>0</v>
      </c>
      <c r="AP334" s="1769">
        <v>0</v>
      </c>
      <c r="AQ334" s="1769">
        <v>0</v>
      </c>
      <c r="AR334" s="1769">
        <v>0</v>
      </c>
      <c r="AS334" s="1769">
        <v>0</v>
      </c>
      <c r="AT334" s="1769">
        <v>0</v>
      </c>
      <c r="AU334" s="1769">
        <v>0</v>
      </c>
      <c r="AV334" s="1769">
        <v>0</v>
      </c>
      <c r="AW334" s="1769">
        <v>0</v>
      </c>
      <c r="AX334" s="1769">
        <v>0</v>
      </c>
      <c r="AY334" s="1769">
        <v>0</v>
      </c>
      <c r="AZ334" s="1769">
        <v>0</v>
      </c>
      <c r="BA334" s="1769">
        <v>0</v>
      </c>
      <c r="BB334" s="1769">
        <v>0</v>
      </c>
      <c r="BC334" s="1769">
        <v>0</v>
      </c>
      <c r="BD334" s="1769">
        <v>0</v>
      </c>
      <c r="BE334" s="1769">
        <v>0</v>
      </c>
      <c r="BF334" s="1769">
        <v>0</v>
      </c>
      <c r="BG334" s="1769">
        <v>0</v>
      </c>
      <c r="BH334" s="1769">
        <v>0</v>
      </c>
      <c r="BI334" s="1769">
        <v>0</v>
      </c>
      <c r="BJ334" s="1769">
        <v>0</v>
      </c>
      <c r="BK334" s="1769">
        <v>0</v>
      </c>
      <c r="BL334" s="1769">
        <v>0</v>
      </c>
      <c r="BM334" s="1769">
        <v>0</v>
      </c>
      <c r="BN334" s="1769">
        <v>0</v>
      </c>
      <c r="BO334" s="1769">
        <v>0</v>
      </c>
      <c r="BP334" s="1769">
        <v>0</v>
      </c>
      <c r="BQ334" s="1769">
        <v>0</v>
      </c>
      <c r="BR334" s="1769">
        <v>0</v>
      </c>
      <c r="BS334" s="1769">
        <v>0</v>
      </c>
      <c r="BT334" s="1769">
        <v>0</v>
      </c>
      <c r="BU334" s="1769">
        <v>0</v>
      </c>
      <c r="BV334" s="1769">
        <v>0</v>
      </c>
      <c r="BW334" s="1769">
        <v>0</v>
      </c>
      <c r="BX334" s="1769">
        <v>0</v>
      </c>
      <c r="BY334" s="1769">
        <v>0</v>
      </c>
      <c r="BZ334" s="1769">
        <v>0</v>
      </c>
      <c r="CA334" s="1769">
        <v>0</v>
      </c>
      <c r="CB334" s="1769">
        <v>0</v>
      </c>
      <c r="CC334" s="1769">
        <v>0</v>
      </c>
      <c r="CD334" s="1769">
        <v>0</v>
      </c>
      <c r="CE334" s="1769">
        <v>0</v>
      </c>
      <c r="CF334" s="1769">
        <v>0</v>
      </c>
      <c r="CG334" s="1769">
        <v>0</v>
      </c>
      <c r="CH334" s="1769">
        <v>0</v>
      </c>
      <c r="CI334" s="1769">
        <v>0</v>
      </c>
      <c r="CJ334" s="1769">
        <v>0</v>
      </c>
      <c r="CK334" s="1769">
        <v>0</v>
      </c>
      <c r="CL334" s="1769">
        <v>0</v>
      </c>
      <c r="CM334" s="1769">
        <v>0</v>
      </c>
      <c r="CN334" s="1769">
        <v>0</v>
      </c>
      <c r="CO334" s="1769">
        <v>0</v>
      </c>
      <c r="CP334" s="1769">
        <v>0</v>
      </c>
    </row>
    <row r="335" spans="1:94" ht="27" customHeight="1" thickBot="1" x14ac:dyDescent="0.25">
      <c r="A335" s="1852"/>
      <c r="B335" s="1852"/>
      <c r="C335" s="963" t="s">
        <v>2376</v>
      </c>
      <c r="D335" s="1560"/>
      <c r="E335" s="1882"/>
      <c r="F335" s="1736"/>
      <c r="G335" s="1769">
        <v>0</v>
      </c>
      <c r="H335" s="1769">
        <v>0</v>
      </c>
      <c r="I335" s="1769">
        <v>0</v>
      </c>
      <c r="J335" s="1769">
        <v>0</v>
      </c>
      <c r="K335" s="1769">
        <v>0</v>
      </c>
      <c r="L335" s="1769">
        <v>0</v>
      </c>
      <c r="M335" s="1769">
        <v>0</v>
      </c>
      <c r="N335" s="1769">
        <v>0</v>
      </c>
      <c r="O335" s="1769">
        <v>0</v>
      </c>
      <c r="P335" s="1769">
        <v>0</v>
      </c>
      <c r="Q335" s="1769">
        <v>0</v>
      </c>
      <c r="R335" s="1769">
        <v>0</v>
      </c>
      <c r="S335" s="1769">
        <v>0</v>
      </c>
      <c r="T335" s="1769">
        <v>0</v>
      </c>
      <c r="U335" s="1769">
        <v>0</v>
      </c>
      <c r="V335" s="1769">
        <v>0</v>
      </c>
      <c r="W335" s="1769">
        <v>0</v>
      </c>
      <c r="X335" s="1769">
        <v>0</v>
      </c>
      <c r="Y335" s="1769">
        <v>0</v>
      </c>
      <c r="Z335" s="1769">
        <v>0</v>
      </c>
      <c r="AA335" s="1769">
        <v>0</v>
      </c>
      <c r="AB335" s="1769">
        <v>0</v>
      </c>
      <c r="AC335" s="1769">
        <v>0</v>
      </c>
      <c r="AD335" s="1769">
        <v>0</v>
      </c>
      <c r="AE335" s="1769">
        <v>0</v>
      </c>
      <c r="AF335" s="1769">
        <v>0</v>
      </c>
      <c r="AG335" s="1769">
        <v>0</v>
      </c>
      <c r="AH335" s="1769">
        <v>0</v>
      </c>
      <c r="AI335" s="1769">
        <v>0</v>
      </c>
      <c r="AJ335" s="1769">
        <v>0</v>
      </c>
      <c r="AK335" s="1769">
        <v>0</v>
      </c>
      <c r="AL335" s="1769">
        <v>0</v>
      </c>
      <c r="AM335" s="1769">
        <v>0</v>
      </c>
      <c r="AN335" s="1769">
        <v>0</v>
      </c>
      <c r="AO335" s="1769">
        <v>0</v>
      </c>
      <c r="AP335" s="1769">
        <v>0</v>
      </c>
      <c r="AQ335" s="1769">
        <v>0</v>
      </c>
      <c r="AR335" s="1769">
        <v>0</v>
      </c>
      <c r="AS335" s="1769">
        <v>0</v>
      </c>
      <c r="AT335" s="1769">
        <v>0</v>
      </c>
      <c r="AU335" s="1769">
        <v>0</v>
      </c>
      <c r="AV335" s="1769">
        <v>0</v>
      </c>
      <c r="AW335" s="1769">
        <v>0</v>
      </c>
      <c r="AX335" s="1769">
        <v>0</v>
      </c>
      <c r="AY335" s="1769">
        <v>0</v>
      </c>
      <c r="AZ335" s="1769">
        <v>0</v>
      </c>
      <c r="BA335" s="1769">
        <v>0</v>
      </c>
      <c r="BB335" s="1769">
        <v>0</v>
      </c>
      <c r="BC335" s="1769">
        <v>0</v>
      </c>
      <c r="BD335" s="1769">
        <v>0</v>
      </c>
      <c r="BE335" s="1769">
        <v>0</v>
      </c>
      <c r="BF335" s="1769">
        <v>0</v>
      </c>
      <c r="BG335" s="1769">
        <v>0</v>
      </c>
      <c r="BH335" s="1769">
        <v>0</v>
      </c>
      <c r="BI335" s="1769">
        <v>0</v>
      </c>
      <c r="BJ335" s="1769">
        <v>0</v>
      </c>
      <c r="BK335" s="1769">
        <v>0</v>
      </c>
      <c r="BL335" s="1769">
        <v>0</v>
      </c>
      <c r="BM335" s="1769">
        <v>0</v>
      </c>
      <c r="BN335" s="1769">
        <v>0</v>
      </c>
      <c r="BO335" s="1769">
        <v>0</v>
      </c>
      <c r="BP335" s="1769">
        <v>0</v>
      </c>
      <c r="BQ335" s="1769">
        <v>0</v>
      </c>
      <c r="BR335" s="1769">
        <v>0</v>
      </c>
      <c r="BS335" s="1769">
        <v>0</v>
      </c>
      <c r="BT335" s="1769">
        <v>0</v>
      </c>
      <c r="BU335" s="1769">
        <v>0</v>
      </c>
      <c r="BV335" s="1769">
        <v>0</v>
      </c>
      <c r="BW335" s="1769">
        <v>0</v>
      </c>
      <c r="BX335" s="1769">
        <v>0</v>
      </c>
      <c r="BY335" s="1769">
        <v>0</v>
      </c>
      <c r="BZ335" s="1769">
        <v>0</v>
      </c>
      <c r="CA335" s="1769">
        <v>0</v>
      </c>
      <c r="CB335" s="1769">
        <v>0</v>
      </c>
      <c r="CC335" s="1769">
        <v>0</v>
      </c>
      <c r="CD335" s="1769">
        <v>0</v>
      </c>
      <c r="CE335" s="1769">
        <v>0</v>
      </c>
      <c r="CF335" s="1769">
        <v>0</v>
      </c>
      <c r="CG335" s="1769">
        <v>0</v>
      </c>
      <c r="CH335" s="1769">
        <v>0</v>
      </c>
      <c r="CI335" s="1769">
        <v>0</v>
      </c>
      <c r="CJ335" s="1769">
        <v>0</v>
      </c>
      <c r="CK335" s="1769">
        <v>0</v>
      </c>
      <c r="CL335" s="1769">
        <v>0</v>
      </c>
      <c r="CM335" s="1769">
        <v>0</v>
      </c>
      <c r="CN335" s="1769">
        <v>0</v>
      </c>
      <c r="CO335" s="1769">
        <v>0</v>
      </c>
      <c r="CP335" s="1769">
        <v>0</v>
      </c>
    </row>
  </sheetData>
  <sheetProtection password="C4B9" sheet="1" objects="1" scenarios="1" formatCells="0" formatColumns="0" formatRows="0"/>
  <customSheetViews>
    <customSheetView guid="{B8E02330-2419-4DE6-AD01-7ACC7A5D18DD}" scale="90" topLeftCell="A96">
      <selection activeCell="C101" sqref="C101:C102"/>
      <rowBreaks count="16" manualBreakCount="16">
        <brk id="9" max="4" man="1"/>
        <brk id="26" max="4" man="1"/>
        <brk id="45" max="4" man="1"/>
        <brk id="82" max="4" man="1"/>
        <brk id="100" max="4" man="1"/>
        <brk id="124" max="4" man="1"/>
        <brk id="148" max="4" man="1"/>
        <brk id="166" max="4" man="1"/>
        <brk id="196" max="4" man="1"/>
        <brk id="220" max="4" man="1"/>
        <brk id="236" max="4" man="1"/>
        <brk id="267" max="4" man="1"/>
        <brk id="287" max="4" man="1"/>
        <brk id="306" max="4" man="1"/>
        <brk id="333" max="4" man="1"/>
        <brk id="363" max="4" man="1"/>
      </rowBreaks>
      <pageMargins left="0.25" right="0.25" top="0.75" bottom="0.75" header="0.3" footer="0.3"/>
      <printOptions headings="1"/>
      <pageSetup scale="85" orientation="landscape" r:id="rId1"/>
      <headerFooter alignWithMargins="0">
        <oddFooter>&amp;LWESPUS betaV1, by Dr. Paul Adamus</oddFooter>
      </headerFooter>
    </customSheetView>
  </customSheetViews>
  <mergeCells count="179">
    <mergeCell ref="A331:A335"/>
    <mergeCell ref="B331:B335"/>
    <mergeCell ref="E331:E335"/>
    <mergeCell ref="E324:E330"/>
    <mergeCell ref="E319:E323"/>
    <mergeCell ref="E315:E318"/>
    <mergeCell ref="B315:B318"/>
    <mergeCell ref="A319:A323"/>
    <mergeCell ref="B319:B323"/>
    <mergeCell ref="A324:A330"/>
    <mergeCell ref="B324:B330"/>
    <mergeCell ref="A315:A318"/>
    <mergeCell ref="A311:A314"/>
    <mergeCell ref="A302:A310"/>
    <mergeCell ref="A283:A287"/>
    <mergeCell ref="A295:A299"/>
    <mergeCell ref="A2:C2"/>
    <mergeCell ref="A3:C3"/>
    <mergeCell ref="A154:C154"/>
    <mergeCell ref="B134:B139"/>
    <mergeCell ref="B204:B207"/>
    <mergeCell ref="A187:A192"/>
    <mergeCell ref="B187:B192"/>
    <mergeCell ref="A180:A186"/>
    <mergeCell ref="A204:A207"/>
    <mergeCell ref="B180:B186"/>
    <mergeCell ref="B269:B273"/>
    <mergeCell ref="A269:A273"/>
    <mergeCell ref="A278:A282"/>
    <mergeCell ref="A288:A294"/>
    <mergeCell ref="A274:A277"/>
    <mergeCell ref="B311:B314"/>
    <mergeCell ref="B274:B277"/>
    <mergeCell ref="B302:B310"/>
    <mergeCell ref="B295:B299"/>
    <mergeCell ref="B57:B62"/>
    <mergeCell ref="B288:B294"/>
    <mergeCell ref="B278:B282"/>
    <mergeCell ref="A77:A83"/>
    <mergeCell ref="A110:A115"/>
    <mergeCell ref="B89:B94"/>
    <mergeCell ref="B283:B287"/>
    <mergeCell ref="A173:A179"/>
    <mergeCell ref="A161:A164"/>
    <mergeCell ref="B165:B171"/>
    <mergeCell ref="B173:B179"/>
    <mergeCell ref="A233:A238"/>
    <mergeCell ref="B216:B221"/>
    <mergeCell ref="A222:A225"/>
    <mergeCell ref="A216:A221"/>
    <mergeCell ref="A211:A215"/>
    <mergeCell ref="A262:A268"/>
    <mergeCell ref="B262:B268"/>
    <mergeCell ref="A258:A260"/>
    <mergeCell ref="A155:A160"/>
    <mergeCell ref="B161:B164"/>
    <mergeCell ref="A101:A106"/>
    <mergeCell ref="A199:A202"/>
    <mergeCell ref="B199:B202"/>
    <mergeCell ref="B142:B147"/>
    <mergeCell ref="E155:E160"/>
    <mergeCell ref="A127:A133"/>
    <mergeCell ref="A134:A139"/>
    <mergeCell ref="B127:B133"/>
    <mergeCell ref="B47:B52"/>
    <mergeCell ref="A12:A17"/>
    <mergeCell ref="B12:B17"/>
    <mergeCell ref="E134:E139"/>
    <mergeCell ref="B121:B126"/>
    <mergeCell ref="A121:A126"/>
    <mergeCell ref="E127:E133"/>
    <mergeCell ref="A73:A76"/>
    <mergeCell ref="A107:A109"/>
    <mergeCell ref="E18:E24"/>
    <mergeCell ref="E25:E33"/>
    <mergeCell ref="B25:B33"/>
    <mergeCell ref="E121:E126"/>
    <mergeCell ref="E12:E17"/>
    <mergeCell ref="E44:E46"/>
    <mergeCell ref="A18:A24"/>
    <mergeCell ref="B18:B24"/>
    <mergeCell ref="B44:B46"/>
    <mergeCell ref="A142:A147"/>
    <mergeCell ref="A148:A153"/>
    <mergeCell ref="B107:B109"/>
    <mergeCell ref="B73:B76"/>
    <mergeCell ref="B77:B83"/>
    <mergeCell ref="A89:A94"/>
    <mergeCell ref="B116:B120"/>
    <mergeCell ref="B101:B106"/>
    <mergeCell ref="B84:B88"/>
    <mergeCell ref="B69:B72"/>
    <mergeCell ref="A69:A72"/>
    <mergeCell ref="B193:B198"/>
    <mergeCell ref="A193:A198"/>
    <mergeCell ref="A41:A43"/>
    <mergeCell ref="E110:E115"/>
    <mergeCell ref="E95:E100"/>
    <mergeCell ref="E107:E109"/>
    <mergeCell ref="A95:A100"/>
    <mergeCell ref="A84:A88"/>
    <mergeCell ref="E187:E192"/>
    <mergeCell ref="E193:E198"/>
    <mergeCell ref="A53:A56"/>
    <mergeCell ref="B53:B56"/>
    <mergeCell ref="B110:B115"/>
    <mergeCell ref="B95:B100"/>
    <mergeCell ref="B155:B160"/>
    <mergeCell ref="A165:A171"/>
    <mergeCell ref="E161:E164"/>
    <mergeCell ref="E142:E147"/>
    <mergeCell ref="A47:A52"/>
    <mergeCell ref="E180:E186"/>
    <mergeCell ref="E165:E171"/>
    <mergeCell ref="B63:B68"/>
    <mergeCell ref="A116:A120"/>
    <mergeCell ref="E63:E68"/>
    <mergeCell ref="B258:B260"/>
    <mergeCell ref="E262:E268"/>
    <mergeCell ref="B227:B232"/>
    <mergeCell ref="A227:A232"/>
    <mergeCell ref="A247:A251"/>
    <mergeCell ref="E243:E246"/>
    <mergeCell ref="B247:B251"/>
    <mergeCell ref="A243:A246"/>
    <mergeCell ref="A239:A242"/>
    <mergeCell ref="E233:E238"/>
    <mergeCell ref="B233:B238"/>
    <mergeCell ref="B243:B246"/>
    <mergeCell ref="B239:B242"/>
    <mergeCell ref="E227:E232"/>
    <mergeCell ref="B211:B215"/>
    <mergeCell ref="E211:E215"/>
    <mergeCell ref="E216:E221"/>
    <mergeCell ref="B222:B225"/>
    <mergeCell ref="B252:B257"/>
    <mergeCell ref="A252:A257"/>
    <mergeCell ref="E311:E314"/>
    <mergeCell ref="E84:E88"/>
    <mergeCell ref="E283:E287"/>
    <mergeCell ref="E269:E273"/>
    <mergeCell ref="E274:E277"/>
    <mergeCell ref="E288:E294"/>
    <mergeCell ref="E278:E282"/>
    <mergeCell ref="E302:E310"/>
    <mergeCell ref="E295:E299"/>
    <mergeCell ref="E116:E120"/>
    <mergeCell ref="E258:E260"/>
    <mergeCell ref="E252:E257"/>
    <mergeCell ref="E101:E106"/>
    <mergeCell ref="E247:E251"/>
    <mergeCell ref="E173:E179"/>
    <mergeCell ref="E239:E242"/>
    <mergeCell ref="E222:E225"/>
    <mergeCell ref="E204:E207"/>
    <mergeCell ref="E199:E202"/>
    <mergeCell ref="E148:E153"/>
    <mergeCell ref="E89:E94"/>
    <mergeCell ref="A1:C1"/>
    <mergeCell ref="E2:E3"/>
    <mergeCell ref="E57:E62"/>
    <mergeCell ref="A25:A33"/>
    <mergeCell ref="A34:A40"/>
    <mergeCell ref="B5:B11"/>
    <mergeCell ref="E5:E11"/>
    <mergeCell ref="A5:A11"/>
    <mergeCell ref="E77:E83"/>
    <mergeCell ref="E34:E40"/>
    <mergeCell ref="A63:A68"/>
    <mergeCell ref="B34:B40"/>
    <mergeCell ref="E73:E76"/>
    <mergeCell ref="E69:E72"/>
    <mergeCell ref="E47:E52"/>
    <mergeCell ref="E53:E56"/>
    <mergeCell ref="E41:E43"/>
    <mergeCell ref="A44:A46"/>
    <mergeCell ref="A57:A62"/>
    <mergeCell ref="B148:B153"/>
    <mergeCell ref="B41:B43"/>
  </mergeCells>
  <phoneticPr fontId="12" type="noConversion"/>
  <conditionalFormatting sqref="C323 C281:C282 C319 B331 D331:D335 C226 C217 E208:E215 C199:C202 C173:C179 C95:C106 C63 B208:B211 C208:C213 C215">
    <cfRule type="cellIs" dxfId="128" priority="212" operator="equal">
      <formula>1</formula>
    </cfRule>
  </conditionalFormatting>
  <conditionalFormatting sqref="E227:E232 E243:E246 E239:E241 E222 E208:E210 E63:E67 E25:E33 E274:E277 E41:E57">
    <cfRule type="cellIs" dxfId="127" priority="146" stopIfTrue="1" operator="equal">
      <formula>1</formula>
    </cfRule>
  </conditionalFormatting>
  <conditionalFormatting sqref="G2:P2 CQ2:DD2">
    <cfRule type="cellIs" dxfId="126" priority="129" operator="notEqual">
      <formula>0</formula>
    </cfRule>
  </conditionalFormatting>
  <conditionalFormatting sqref="G5:G12 G18:G153 G155:G288 G295 G302 G311 G315 G319 G324 G331">
    <cfRule type="cellIs" dxfId="125" priority="115" operator="notEqual">
      <formula>0</formula>
    </cfRule>
  </conditionalFormatting>
  <conditionalFormatting sqref="H5:H12 H18:H335">
    <cfRule type="cellIs" dxfId="124" priority="114" operator="notEqual">
      <formula>0</formula>
    </cfRule>
  </conditionalFormatting>
  <conditionalFormatting sqref="I5:I12 I18:I335">
    <cfRule type="cellIs" dxfId="123" priority="113" operator="notEqual">
      <formula>0</formula>
    </cfRule>
  </conditionalFormatting>
  <conditionalFormatting sqref="J5:J12 J18:J335">
    <cfRule type="cellIs" dxfId="122" priority="112" operator="notEqual">
      <formula>0</formula>
    </cfRule>
  </conditionalFormatting>
  <conditionalFormatting sqref="K5:K12 K18:K335">
    <cfRule type="cellIs" dxfId="121" priority="111" operator="notEqual">
      <formula>0</formula>
    </cfRule>
  </conditionalFormatting>
  <conditionalFormatting sqref="L5:L12 L18:L335">
    <cfRule type="cellIs" dxfId="120" priority="110" operator="notEqual">
      <formula>0</formula>
    </cfRule>
  </conditionalFormatting>
  <conditionalFormatting sqref="M5:M12 M18:M335">
    <cfRule type="cellIs" dxfId="119" priority="109" operator="notEqual">
      <formula>0</formula>
    </cfRule>
  </conditionalFormatting>
  <conditionalFormatting sqref="N5:N12 N18:N335">
    <cfRule type="cellIs" dxfId="118" priority="108" operator="notEqual">
      <formula>0</formula>
    </cfRule>
  </conditionalFormatting>
  <conditionalFormatting sqref="O5:O12 O18:O335">
    <cfRule type="cellIs" dxfId="117" priority="107" operator="notEqual">
      <formula>0</formula>
    </cfRule>
  </conditionalFormatting>
  <conditionalFormatting sqref="P5:P12 P18:P335">
    <cfRule type="cellIs" dxfId="116" priority="106" operator="notEqual">
      <formula>0</formula>
    </cfRule>
  </conditionalFormatting>
  <conditionalFormatting sqref="Q2">
    <cfRule type="cellIs" dxfId="115" priority="105" operator="notEqual">
      <formula>0</formula>
    </cfRule>
  </conditionalFormatting>
  <conditionalFormatting sqref="Q5:Q12 Q18:Q335">
    <cfRule type="cellIs" dxfId="114" priority="104" operator="notEqual">
      <formula>0</formula>
    </cfRule>
  </conditionalFormatting>
  <conditionalFormatting sqref="R2:AA2">
    <cfRule type="cellIs" dxfId="113" priority="103" operator="notEqual">
      <formula>0</formula>
    </cfRule>
  </conditionalFormatting>
  <conditionalFormatting sqref="R5:R12 R18:R335">
    <cfRule type="cellIs" dxfId="112" priority="102" operator="notEqual">
      <formula>0</formula>
    </cfRule>
  </conditionalFormatting>
  <conditionalFormatting sqref="S5:S12 S18:S335">
    <cfRule type="cellIs" dxfId="111" priority="101" operator="notEqual">
      <formula>0</formula>
    </cfRule>
  </conditionalFormatting>
  <conditionalFormatting sqref="T5:T12 T18:T335">
    <cfRule type="cellIs" dxfId="110" priority="100" operator="notEqual">
      <formula>0</formula>
    </cfRule>
  </conditionalFormatting>
  <conditionalFormatting sqref="U5:U12 U18:U335">
    <cfRule type="cellIs" dxfId="109" priority="99" operator="notEqual">
      <formula>0</formula>
    </cfRule>
  </conditionalFormatting>
  <conditionalFormatting sqref="V5:V12 V18:V335">
    <cfRule type="cellIs" dxfId="108" priority="98" operator="notEqual">
      <formula>0</formula>
    </cfRule>
  </conditionalFormatting>
  <conditionalFormatting sqref="W5:W12 W18:W335">
    <cfRule type="cellIs" dxfId="107" priority="97" operator="notEqual">
      <formula>0</formula>
    </cfRule>
  </conditionalFormatting>
  <conditionalFormatting sqref="X5:X12 X18:X335">
    <cfRule type="cellIs" dxfId="106" priority="96" operator="notEqual">
      <formula>0</formula>
    </cfRule>
  </conditionalFormatting>
  <conditionalFormatting sqref="Y5:Y12 Y18:Y335">
    <cfRule type="cellIs" dxfId="105" priority="95" operator="notEqual">
      <formula>0</formula>
    </cfRule>
  </conditionalFormatting>
  <conditionalFormatting sqref="Z5:Z12 Z18:Z335">
    <cfRule type="cellIs" dxfId="104" priority="94" operator="notEqual">
      <formula>0</formula>
    </cfRule>
  </conditionalFormatting>
  <conditionalFormatting sqref="AA5:AA12 AA18:AA335">
    <cfRule type="cellIs" dxfId="103" priority="93" operator="notEqual">
      <formula>0</formula>
    </cfRule>
  </conditionalFormatting>
  <conditionalFormatting sqref="AB2">
    <cfRule type="cellIs" dxfId="102" priority="92" operator="notEqual">
      <formula>0</formula>
    </cfRule>
  </conditionalFormatting>
  <conditionalFormatting sqref="AB5:AB12 AB18:AB335">
    <cfRule type="cellIs" dxfId="101" priority="91" operator="notEqual">
      <formula>0</formula>
    </cfRule>
  </conditionalFormatting>
  <conditionalFormatting sqref="AC2:AL2">
    <cfRule type="cellIs" dxfId="100" priority="90" operator="notEqual">
      <formula>0</formula>
    </cfRule>
  </conditionalFormatting>
  <conditionalFormatting sqref="AC5:AC12 AC18:AC335">
    <cfRule type="cellIs" dxfId="99" priority="89" operator="notEqual">
      <formula>0</formula>
    </cfRule>
  </conditionalFormatting>
  <conditionalFormatting sqref="AD5:AD12 AD18:AD335">
    <cfRule type="cellIs" dxfId="98" priority="88" operator="notEqual">
      <formula>0</formula>
    </cfRule>
  </conditionalFormatting>
  <conditionalFormatting sqref="AE5:AE12 AE18:AE335">
    <cfRule type="cellIs" dxfId="97" priority="87" operator="notEqual">
      <formula>0</formula>
    </cfRule>
  </conditionalFormatting>
  <conditionalFormatting sqref="AF5:AF12 AF18:AF335">
    <cfRule type="cellIs" dxfId="96" priority="86" operator="notEqual">
      <formula>0</formula>
    </cfRule>
  </conditionalFormatting>
  <conditionalFormatting sqref="AG5:AG12 AG18:AG335">
    <cfRule type="cellIs" dxfId="95" priority="85" operator="notEqual">
      <formula>0</formula>
    </cfRule>
  </conditionalFormatting>
  <conditionalFormatting sqref="AH5:AH12 AH18:AH335">
    <cfRule type="cellIs" dxfId="94" priority="84" operator="notEqual">
      <formula>0</formula>
    </cfRule>
  </conditionalFormatting>
  <conditionalFormatting sqref="AI5:AI12 AI18:AI335">
    <cfRule type="cellIs" dxfId="93" priority="83" operator="notEqual">
      <formula>0</formula>
    </cfRule>
  </conditionalFormatting>
  <conditionalFormatting sqref="AJ5:AJ12 AJ18:AJ335">
    <cfRule type="cellIs" dxfId="92" priority="82" operator="notEqual">
      <formula>0</formula>
    </cfRule>
  </conditionalFormatting>
  <conditionalFormatting sqref="AK5:AK12 AK18:AK335">
    <cfRule type="cellIs" dxfId="91" priority="81" operator="notEqual">
      <formula>0</formula>
    </cfRule>
  </conditionalFormatting>
  <conditionalFormatting sqref="AL5:AL12 AL18:AL335">
    <cfRule type="cellIs" dxfId="90" priority="80" operator="notEqual">
      <formula>0</formula>
    </cfRule>
  </conditionalFormatting>
  <conditionalFormatting sqref="AM2">
    <cfRule type="cellIs" dxfId="89" priority="79" operator="notEqual">
      <formula>0</formula>
    </cfRule>
  </conditionalFormatting>
  <conditionalFormatting sqref="AM5:AM12 AM18:AM335">
    <cfRule type="cellIs" dxfId="88" priority="78" operator="notEqual">
      <formula>0</formula>
    </cfRule>
  </conditionalFormatting>
  <conditionalFormatting sqref="AN2:AW2">
    <cfRule type="cellIs" dxfId="87" priority="77" operator="notEqual">
      <formula>0</formula>
    </cfRule>
  </conditionalFormatting>
  <conditionalFormatting sqref="AN5:AN12 AN18:AN335">
    <cfRule type="cellIs" dxfId="86" priority="76" operator="notEqual">
      <formula>0</formula>
    </cfRule>
  </conditionalFormatting>
  <conditionalFormatting sqref="AO5:AO12 AO18:AO335">
    <cfRule type="cellIs" dxfId="85" priority="75" operator="notEqual">
      <formula>0</formula>
    </cfRule>
  </conditionalFormatting>
  <conditionalFormatting sqref="AP5:AP12 AP18:AP335">
    <cfRule type="cellIs" dxfId="84" priority="74" operator="notEqual">
      <formula>0</formula>
    </cfRule>
  </conditionalFormatting>
  <conditionalFormatting sqref="AQ5:AQ12 AQ18:AQ335">
    <cfRule type="cellIs" dxfId="83" priority="73" operator="notEqual">
      <formula>0</formula>
    </cfRule>
  </conditionalFormatting>
  <conditionalFormatting sqref="AR5:AR12 AR18:AR335">
    <cfRule type="cellIs" dxfId="82" priority="72" operator="notEqual">
      <formula>0</formula>
    </cfRule>
  </conditionalFormatting>
  <conditionalFormatting sqref="AS5:AS12 AS18:AS335">
    <cfRule type="cellIs" dxfId="81" priority="71" operator="notEqual">
      <formula>0</formula>
    </cfRule>
  </conditionalFormatting>
  <conditionalFormatting sqref="AT5:AT12 AT18:AT335">
    <cfRule type="cellIs" dxfId="80" priority="70" operator="notEqual">
      <formula>0</formula>
    </cfRule>
  </conditionalFormatting>
  <conditionalFormatting sqref="AU5:AU12 AU18:AU335">
    <cfRule type="cellIs" dxfId="79" priority="69" operator="notEqual">
      <formula>0</formula>
    </cfRule>
  </conditionalFormatting>
  <conditionalFormatting sqref="AV5:AV12 AV18:AV335">
    <cfRule type="cellIs" dxfId="78" priority="68" operator="notEqual">
      <formula>0</formula>
    </cfRule>
  </conditionalFormatting>
  <conditionalFormatting sqref="AW5:AW12 AW18:AW335">
    <cfRule type="cellIs" dxfId="77" priority="67" operator="notEqual">
      <formula>0</formula>
    </cfRule>
  </conditionalFormatting>
  <conditionalFormatting sqref="AX2">
    <cfRule type="cellIs" dxfId="76" priority="66" operator="notEqual">
      <formula>0</formula>
    </cfRule>
  </conditionalFormatting>
  <conditionalFormatting sqref="AX5:AX12 AX18:AX335">
    <cfRule type="cellIs" dxfId="75" priority="65" operator="notEqual">
      <formula>0</formula>
    </cfRule>
  </conditionalFormatting>
  <conditionalFormatting sqref="AY2:BH2">
    <cfRule type="cellIs" dxfId="74" priority="64" operator="notEqual">
      <formula>0</formula>
    </cfRule>
  </conditionalFormatting>
  <conditionalFormatting sqref="AY5:AY12 AY18:AY335">
    <cfRule type="cellIs" dxfId="73" priority="63" operator="notEqual">
      <formula>0</formula>
    </cfRule>
  </conditionalFormatting>
  <conditionalFormatting sqref="AZ5:AZ12 AZ18:AZ335">
    <cfRule type="cellIs" dxfId="72" priority="62" operator="notEqual">
      <formula>0</formula>
    </cfRule>
  </conditionalFormatting>
  <conditionalFormatting sqref="BA5:BA12 BA18:BA335">
    <cfRule type="cellIs" dxfId="71" priority="61" operator="notEqual">
      <formula>0</formula>
    </cfRule>
  </conditionalFormatting>
  <conditionalFormatting sqref="BB5:BB12 BB18:BB335">
    <cfRule type="cellIs" dxfId="70" priority="60" operator="notEqual">
      <formula>0</formula>
    </cfRule>
  </conditionalFormatting>
  <conditionalFormatting sqref="BC5:BC12 BC18:BC335">
    <cfRule type="cellIs" dxfId="69" priority="59" operator="notEqual">
      <formula>0</formula>
    </cfRule>
  </conditionalFormatting>
  <conditionalFormatting sqref="BD5:BD12 BD18:BD335">
    <cfRule type="cellIs" dxfId="68" priority="58" operator="notEqual">
      <formula>0</formula>
    </cfRule>
  </conditionalFormatting>
  <conditionalFormatting sqref="BE5:BE12 BE18:BE335">
    <cfRule type="cellIs" dxfId="67" priority="57" operator="notEqual">
      <formula>0</formula>
    </cfRule>
  </conditionalFormatting>
  <conditionalFormatting sqref="BF5:BF12 BF18:BF335">
    <cfRule type="cellIs" dxfId="66" priority="56" operator="notEqual">
      <formula>0</formula>
    </cfRule>
  </conditionalFormatting>
  <conditionalFormatting sqref="BG5:BG12 BG18:BG335">
    <cfRule type="cellIs" dxfId="65" priority="55" operator="notEqual">
      <formula>0</formula>
    </cfRule>
  </conditionalFormatting>
  <conditionalFormatting sqref="BH5:BH12 BH18:BH335">
    <cfRule type="cellIs" dxfId="64" priority="54" operator="notEqual">
      <formula>0</formula>
    </cfRule>
  </conditionalFormatting>
  <conditionalFormatting sqref="BI2">
    <cfRule type="cellIs" dxfId="63" priority="53" operator="notEqual">
      <formula>0</formula>
    </cfRule>
  </conditionalFormatting>
  <conditionalFormatting sqref="BI5:BI12 BI18:BI335">
    <cfRule type="cellIs" dxfId="62" priority="52" operator="notEqual">
      <formula>0</formula>
    </cfRule>
  </conditionalFormatting>
  <conditionalFormatting sqref="BJ2:BS2">
    <cfRule type="cellIs" dxfId="61" priority="51" operator="notEqual">
      <formula>0</formula>
    </cfRule>
  </conditionalFormatting>
  <conditionalFormatting sqref="BJ5:BJ12 BJ18:BJ335">
    <cfRule type="cellIs" dxfId="60" priority="50" operator="notEqual">
      <formula>0</formula>
    </cfRule>
  </conditionalFormatting>
  <conditionalFormatting sqref="BK5:BK12 BK18:BK335">
    <cfRule type="cellIs" dxfId="59" priority="49" operator="notEqual">
      <formula>0</formula>
    </cfRule>
  </conditionalFormatting>
  <conditionalFormatting sqref="BL5:BL12 BL18:BL335">
    <cfRule type="cellIs" dxfId="58" priority="48" operator="notEqual">
      <formula>0</formula>
    </cfRule>
  </conditionalFormatting>
  <conditionalFormatting sqref="BM5:BM12 BM18:BM335">
    <cfRule type="cellIs" dxfId="57" priority="47" operator="notEqual">
      <formula>0</formula>
    </cfRule>
  </conditionalFormatting>
  <conditionalFormatting sqref="BN5:BN12 BN18:BN335">
    <cfRule type="cellIs" dxfId="56" priority="46" operator="notEqual">
      <formula>0</formula>
    </cfRule>
  </conditionalFormatting>
  <conditionalFormatting sqref="BO5:BO12 BO18:BO335">
    <cfRule type="cellIs" dxfId="55" priority="45" operator="notEqual">
      <formula>0</formula>
    </cfRule>
  </conditionalFormatting>
  <conditionalFormatting sqref="BP5:BP12 BP18:BP335">
    <cfRule type="cellIs" dxfId="54" priority="44" operator="notEqual">
      <formula>0</formula>
    </cfRule>
  </conditionalFormatting>
  <conditionalFormatting sqref="BQ5:BQ12 BQ18:BQ335">
    <cfRule type="cellIs" dxfId="53" priority="43" operator="notEqual">
      <formula>0</formula>
    </cfRule>
  </conditionalFormatting>
  <conditionalFormatting sqref="BR5:BR12 BR18:BR335">
    <cfRule type="cellIs" dxfId="52" priority="42" operator="notEqual">
      <formula>0</formula>
    </cfRule>
  </conditionalFormatting>
  <conditionalFormatting sqref="BS5:BS12 BS18:BS335">
    <cfRule type="cellIs" dxfId="51" priority="41" operator="notEqual">
      <formula>0</formula>
    </cfRule>
  </conditionalFormatting>
  <conditionalFormatting sqref="BT2">
    <cfRule type="cellIs" dxfId="50" priority="40" operator="notEqual">
      <formula>0</formula>
    </cfRule>
  </conditionalFormatting>
  <conditionalFormatting sqref="BT5:BT12 BT18:BT335">
    <cfRule type="cellIs" dxfId="49" priority="39" operator="notEqual">
      <formula>0</formula>
    </cfRule>
  </conditionalFormatting>
  <conditionalFormatting sqref="BU2:CD2">
    <cfRule type="cellIs" dxfId="48" priority="38" operator="notEqual">
      <formula>0</formula>
    </cfRule>
  </conditionalFormatting>
  <conditionalFormatting sqref="BU5:BU12 BU18:BU335">
    <cfRule type="cellIs" dxfId="47" priority="37" operator="notEqual">
      <formula>0</formula>
    </cfRule>
  </conditionalFormatting>
  <conditionalFormatting sqref="BV5:BV12 BV18:BV335">
    <cfRule type="cellIs" dxfId="46" priority="36" operator="notEqual">
      <formula>0</formula>
    </cfRule>
  </conditionalFormatting>
  <conditionalFormatting sqref="BW5:BW12 BW18:BW335">
    <cfRule type="cellIs" dxfId="45" priority="35" operator="notEqual">
      <formula>0</formula>
    </cfRule>
  </conditionalFormatting>
  <conditionalFormatting sqref="BX5:BX12 BX18:BX335">
    <cfRule type="cellIs" dxfId="44" priority="34" operator="notEqual">
      <formula>0</formula>
    </cfRule>
  </conditionalFormatting>
  <conditionalFormatting sqref="BY5:BY12 BY18:BY335">
    <cfRule type="cellIs" dxfId="43" priority="33" operator="notEqual">
      <formula>0</formula>
    </cfRule>
  </conditionalFormatting>
  <conditionalFormatting sqref="BZ5:BZ12 BZ18:BZ335">
    <cfRule type="cellIs" dxfId="42" priority="32" operator="notEqual">
      <formula>0</formula>
    </cfRule>
  </conditionalFormatting>
  <conditionalFormatting sqref="CA5:CA12 CA18:CA335">
    <cfRule type="cellIs" dxfId="41" priority="31" operator="notEqual">
      <formula>0</formula>
    </cfRule>
  </conditionalFormatting>
  <conditionalFormatting sqref="CB5:CB12 CB18:CB335">
    <cfRule type="cellIs" dxfId="40" priority="30" operator="notEqual">
      <formula>0</formula>
    </cfRule>
  </conditionalFormatting>
  <conditionalFormatting sqref="CC5:CC12 CC18:CC335">
    <cfRule type="cellIs" dxfId="39" priority="29" operator="notEqual">
      <formula>0</formula>
    </cfRule>
  </conditionalFormatting>
  <conditionalFormatting sqref="CD5:CD12 CD18:CD335">
    <cfRule type="cellIs" dxfId="38" priority="28" operator="notEqual">
      <formula>0</formula>
    </cfRule>
  </conditionalFormatting>
  <conditionalFormatting sqref="CE2">
    <cfRule type="cellIs" dxfId="37" priority="27" operator="notEqual">
      <formula>0</formula>
    </cfRule>
  </conditionalFormatting>
  <conditionalFormatting sqref="CE5:CE12 CE18:CE335">
    <cfRule type="cellIs" dxfId="36" priority="26" operator="notEqual">
      <formula>0</formula>
    </cfRule>
  </conditionalFormatting>
  <conditionalFormatting sqref="CF2:CO2">
    <cfRule type="cellIs" dxfId="35" priority="25" operator="notEqual">
      <formula>0</formula>
    </cfRule>
  </conditionalFormatting>
  <conditionalFormatting sqref="CF5:CF12 CF18:CF335">
    <cfRule type="cellIs" dxfId="34" priority="24" operator="notEqual">
      <formula>0</formula>
    </cfRule>
  </conditionalFormatting>
  <conditionalFormatting sqref="CG5:CG12 CG18:CG335">
    <cfRule type="cellIs" dxfId="33" priority="23" operator="notEqual">
      <formula>0</formula>
    </cfRule>
  </conditionalFormatting>
  <conditionalFormatting sqref="CH5:CH12 CH18:CH335">
    <cfRule type="cellIs" dxfId="32" priority="22" operator="notEqual">
      <formula>0</formula>
    </cfRule>
  </conditionalFormatting>
  <conditionalFormatting sqref="CI5:CI12 CI18:CI335">
    <cfRule type="cellIs" dxfId="31" priority="21" operator="notEqual">
      <formula>0</formula>
    </cfRule>
  </conditionalFormatting>
  <conditionalFormatting sqref="CJ5:CJ12 CJ18:CJ335">
    <cfRule type="cellIs" dxfId="30" priority="20" operator="notEqual">
      <formula>0</formula>
    </cfRule>
  </conditionalFormatting>
  <conditionalFormatting sqref="CK5:CK12 CK18:CK335">
    <cfRule type="cellIs" dxfId="29" priority="19" operator="notEqual">
      <formula>0</formula>
    </cfRule>
  </conditionalFormatting>
  <conditionalFormatting sqref="CL5:CL12 CL18:CL335">
    <cfRule type="cellIs" dxfId="28" priority="18" operator="notEqual">
      <formula>0</formula>
    </cfRule>
  </conditionalFormatting>
  <conditionalFormatting sqref="CM5:CM12 CM18:CM335">
    <cfRule type="cellIs" dxfId="27" priority="17" operator="notEqual">
      <formula>0</formula>
    </cfRule>
  </conditionalFormatting>
  <conditionalFormatting sqref="CN5:CN12 CN18:CN335">
    <cfRule type="cellIs" dxfId="26" priority="16" operator="notEqual">
      <formula>0</formula>
    </cfRule>
  </conditionalFormatting>
  <conditionalFormatting sqref="CO5:CO12 CO18:CO335">
    <cfRule type="cellIs" dxfId="25" priority="15" operator="notEqual">
      <formula>0</formula>
    </cfRule>
  </conditionalFormatting>
  <conditionalFormatting sqref="CP2">
    <cfRule type="cellIs" dxfId="24" priority="14" operator="notEqual">
      <formula>0</formula>
    </cfRule>
  </conditionalFormatting>
  <conditionalFormatting sqref="CP5:CP12 CP18:CP335">
    <cfRule type="cellIs" dxfId="23" priority="13" operator="notEqual">
      <formula>0</formula>
    </cfRule>
  </conditionalFormatting>
  <conditionalFormatting sqref="G13:CP17">
    <cfRule type="cellIs" dxfId="22" priority="12" operator="notEqual">
      <formula>0</formula>
    </cfRule>
  </conditionalFormatting>
  <conditionalFormatting sqref="G154">
    <cfRule type="cellIs" dxfId="21" priority="11" operator="notEqual">
      <formula>0</formula>
    </cfRule>
  </conditionalFormatting>
  <conditionalFormatting sqref="G289:G294">
    <cfRule type="cellIs" dxfId="20" priority="10" operator="notEqual">
      <formula>0</formula>
    </cfRule>
  </conditionalFormatting>
  <conditionalFormatting sqref="G296:G301">
    <cfRule type="cellIs" dxfId="19" priority="9" operator="notEqual">
      <formula>0</formula>
    </cfRule>
  </conditionalFormatting>
  <conditionalFormatting sqref="G303:G310">
    <cfRule type="cellIs" dxfId="18" priority="8" operator="notEqual">
      <formula>0</formula>
    </cfRule>
  </conditionalFormatting>
  <conditionalFormatting sqref="G312:G314">
    <cfRule type="cellIs" dxfId="17" priority="7" operator="notEqual">
      <formula>0</formula>
    </cfRule>
  </conditionalFormatting>
  <conditionalFormatting sqref="G316:G318">
    <cfRule type="cellIs" dxfId="16" priority="6" operator="notEqual">
      <formula>0</formula>
    </cfRule>
  </conditionalFormatting>
  <conditionalFormatting sqref="G320:G323">
    <cfRule type="cellIs" dxfId="15" priority="5" operator="notEqual">
      <formula>0</formula>
    </cfRule>
  </conditionalFormatting>
  <conditionalFormatting sqref="G325:G330">
    <cfRule type="cellIs" dxfId="14" priority="4" operator="notEqual">
      <formula>0</formula>
    </cfRule>
  </conditionalFormatting>
  <conditionalFormatting sqref="G332:G335">
    <cfRule type="cellIs" dxfId="13" priority="1" operator="notEqual">
      <formula>0</formula>
    </cfRule>
  </conditionalFormatting>
  <dataValidations count="2">
    <dataValidation type="whole" allowBlank="1" showInputMessage="1" showErrorMessage="1" sqref="G7:CP8 G10:CP11 G13:CP17 G26:CP33 G36:CP37 G39:CP40 G42:CP43 G45:CP46 G48:CP52 G54:CP56 G58:CP62 G64:CP68 G70:CP72 G74:CP76 G78:CP83 G85:CP88 G90:CP94 G96:CP100 G102:CP106 G108:CP109 G111:CP115 G117:CP120 G122:CP126 G128:CP133 G135:CP141 G143:CP147 G149:CP154 G156:CP160 G162:CP164 G166:CP172 G174:CP179 G181:CP186 G188:CP192 G194:CP198 G200:CP203 G205:CP210 G212:CP214 G217:CP219 G223:CP226 G228:CP232 G234:CP238 G240:CP242 G244:CP246 G248:CP251 G253:CP257 G259:CP261 G263:CP268 G270:CP273 G275:CP277 G279:CP282 G284:CP287 G325:CP330 G289:CP294 G296:CP301 G303:CP310 G312:CP314 G316:CP318 G320:CP323 G332:CP335">
      <formula1>0</formula1>
      <formula2>1</formula2>
    </dataValidation>
    <dataValidation type="whole" allowBlank="1" showInputMessage="1" showErrorMessage="1" sqref="G19:CP24">
      <formula1>0</formula1>
      <formula2>5</formula2>
    </dataValidation>
  </dataValidations>
  <printOptions headings="1"/>
  <pageMargins left="0.25" right="0.25" top="0.75" bottom="0.75" header="0.3" footer="0.3"/>
  <pageSetup scale="64" orientation="landscape" r:id="rId2"/>
  <headerFooter alignWithMargins="0">
    <oddFooter>&amp;LFieldF form - Non-tidal&amp;CPage &amp;P of &amp;N</oddFooter>
  </headerFooter>
  <rowBreaks count="6" manualBreakCount="6">
    <brk id="62" max="4" man="1"/>
    <brk id="106" max="4" man="1"/>
    <brk id="141" max="4" man="1"/>
    <brk id="232" max="4" man="1"/>
    <brk id="246" max="4" man="1"/>
    <brk id="287"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S226"/>
  <sheetViews>
    <sheetView zoomScaleNormal="100" workbookViewId="0">
      <selection activeCell="C8" sqref="C8"/>
    </sheetView>
  </sheetViews>
  <sheetFormatPr defaultColWidth="9.33203125" defaultRowHeight="12.75" x14ac:dyDescent="0.2"/>
  <cols>
    <col min="1" max="1" width="5.83203125" style="11" customWidth="1"/>
    <col min="2" max="2" width="18.83203125" style="11" customWidth="1"/>
    <col min="3" max="3" width="69.83203125" style="123" customWidth="1"/>
    <col min="4" max="4" width="6.83203125" style="249" customWidth="1"/>
    <col min="5" max="5" width="9.33203125" style="249" customWidth="1"/>
    <col min="6" max="6" width="10" style="249" customWidth="1"/>
    <col min="7" max="7" width="13.6640625" style="250" customWidth="1"/>
    <col min="8" max="8" width="14.1640625" style="19" customWidth="1"/>
    <col min="9" max="9" width="67.83203125" style="11" customWidth="1"/>
    <col min="10" max="10" width="9.33203125" style="578"/>
    <col min="11" max="16384" width="9.33203125" style="200"/>
  </cols>
  <sheetData>
    <row r="1" spans="1:71" ht="60" customHeight="1" thickBot="1" x14ac:dyDescent="0.25">
      <c r="A1" s="2033" t="s">
        <v>1757</v>
      </c>
      <c r="B1" s="2210"/>
      <c r="C1" s="60" t="s">
        <v>622</v>
      </c>
      <c r="D1" s="497" t="s">
        <v>516</v>
      </c>
      <c r="E1" s="2183"/>
      <c r="F1" s="2184"/>
      <c r="G1" s="2184"/>
      <c r="H1" s="2184"/>
      <c r="I1" s="2185"/>
    </row>
    <row r="2" spans="1:71" s="1014" customFormat="1" ht="50.25" thickBot="1" x14ac:dyDescent="0.25">
      <c r="A2" s="1008" t="s">
        <v>78</v>
      </c>
      <c r="B2" s="1009" t="s">
        <v>701</v>
      </c>
      <c r="C2" s="1010" t="s">
        <v>866</v>
      </c>
      <c r="D2" s="1008"/>
      <c r="E2" s="1011"/>
      <c r="F2" s="1012"/>
      <c r="G2" s="1013" t="s">
        <v>710</v>
      </c>
      <c r="H2" s="1177" t="s">
        <v>2028</v>
      </c>
      <c r="I2" s="1009" t="s">
        <v>255</v>
      </c>
    </row>
    <row r="3" spans="1:71" s="1325" customFormat="1" ht="45" customHeight="1" thickBot="1" x14ac:dyDescent="0.25">
      <c r="A3" s="418" t="str">
        <f>OF!A7</f>
        <v>OF6</v>
      </c>
      <c r="B3" s="323" t="str">
        <f>OF!C7</f>
        <v>Distance to Nearest Annual Cropland or Developed Land</v>
      </c>
      <c r="C3" s="447" t="s">
        <v>406</v>
      </c>
      <c r="D3" s="324"/>
      <c r="E3" s="325"/>
      <c r="F3" s="325"/>
      <c r="G3" s="345" t="str">
        <f>IF((Dist2DevCrop=""),"",Dist2DevCrop)</f>
        <v/>
      </c>
      <c r="H3" s="487" t="s">
        <v>802</v>
      </c>
      <c r="I3" s="1423" t="s">
        <v>985</v>
      </c>
      <c r="J3" s="209"/>
      <c r="K3" s="1668"/>
      <c r="BL3" s="5"/>
      <c r="BM3" s="5"/>
      <c r="BN3" s="5"/>
      <c r="BO3" s="5"/>
      <c r="BP3" s="5"/>
      <c r="BQ3" s="5"/>
      <c r="BR3" s="5"/>
      <c r="BS3" s="5"/>
    </row>
    <row r="4" spans="1:71" s="1325" customFormat="1" ht="29.25" customHeight="1" thickBot="1" x14ac:dyDescent="0.25">
      <c r="A4" s="317" t="str">
        <f>OF!A16</f>
        <v>OF15</v>
      </c>
      <c r="B4" s="864" t="str">
        <f>OF!C16</f>
        <v>Growing Degree Days</v>
      </c>
      <c r="C4" s="479" t="s">
        <v>406</v>
      </c>
      <c r="D4" s="764"/>
      <c r="E4" s="765"/>
      <c r="F4" s="765"/>
      <c r="G4" s="809" t="str">
        <f>IF((GrowDD=""),"",GrowDD)</f>
        <v/>
      </c>
      <c r="H4" s="867" t="s">
        <v>698</v>
      </c>
      <c r="I4" s="838" t="s">
        <v>702</v>
      </c>
      <c r="J4" s="209"/>
      <c r="K4" s="1668"/>
    </row>
    <row r="5" spans="1:71" s="1325" customFormat="1" ht="30" customHeight="1" thickBot="1" x14ac:dyDescent="0.25">
      <c r="A5" s="317" t="str">
        <f>OF!A18</f>
        <v>OF17</v>
      </c>
      <c r="B5" s="318" t="str">
        <f>OF!C18</f>
        <v>Important Bird Area</v>
      </c>
      <c r="C5" s="479" t="s">
        <v>894</v>
      </c>
      <c r="D5" s="320"/>
      <c r="E5" s="321"/>
      <c r="F5" s="321"/>
      <c r="G5" s="330" t="str">
        <f>IF((IBirdArea=""),"",IF((IBirdArea=1),1,""))</f>
        <v/>
      </c>
      <c r="H5" s="332" t="s">
        <v>699</v>
      </c>
      <c r="I5" s="838" t="s">
        <v>986</v>
      </c>
      <c r="J5" s="209"/>
      <c r="K5" s="1668"/>
    </row>
    <row r="6" spans="1:71" s="1325" customFormat="1" ht="45" customHeight="1" thickBot="1" x14ac:dyDescent="0.25">
      <c r="A6" s="317" t="str">
        <f>OF!A27</f>
        <v>OF26</v>
      </c>
      <c r="B6" s="864" t="str">
        <f>OF!C27</f>
        <v>% of AA that is Open Water (macro scale, Waterbird Habitat)</v>
      </c>
      <c r="C6" s="479" t="s">
        <v>876</v>
      </c>
      <c r="D6" s="764"/>
      <c r="E6" s="765"/>
      <c r="F6" s="765"/>
      <c r="G6" s="809" t="str">
        <f>IF((OWpct_WB=""),"",OWpct_WB)</f>
        <v/>
      </c>
      <c r="H6" s="861" t="s">
        <v>870</v>
      </c>
      <c r="I6" s="831" t="s">
        <v>75</v>
      </c>
      <c r="J6" s="209"/>
      <c r="K6" s="1668"/>
    </row>
    <row r="7" spans="1:71" s="1325" customFormat="1" ht="60" customHeight="1" thickBot="1" x14ac:dyDescent="0.25">
      <c r="A7" s="418" t="str">
        <f>OF!A31</f>
        <v>OF30</v>
      </c>
      <c r="B7" s="323" t="str">
        <f>OF!C31</f>
        <v>Nesting Bird Colony, Piping Plover Water Body, or Trumpeter Swan Use Area</v>
      </c>
      <c r="C7" s="447" t="s">
        <v>895</v>
      </c>
      <c r="D7" s="324"/>
      <c r="E7" s="325"/>
      <c r="F7" s="325"/>
      <c r="G7" s="345" t="str">
        <f>IF((RareBirdUse=""),"",IF((RareBirdUse=1),1,""))</f>
        <v/>
      </c>
      <c r="H7" s="1360" t="s">
        <v>693</v>
      </c>
      <c r="I7" s="1412" t="s">
        <v>987</v>
      </c>
      <c r="J7" s="209"/>
      <c r="K7" s="1668"/>
    </row>
    <row r="8" spans="1:71" s="1325" customFormat="1" ht="30" customHeight="1" thickBot="1" x14ac:dyDescent="0.25">
      <c r="A8" s="317" t="str">
        <f>OF!A34</f>
        <v>OF33</v>
      </c>
      <c r="B8" s="318" t="str">
        <f>OF!C34</f>
        <v>Riparian or Floodway Location</v>
      </c>
      <c r="C8" s="479" t="s">
        <v>893</v>
      </c>
      <c r="D8" s="320"/>
      <c r="E8" s="321"/>
      <c r="F8" s="321"/>
      <c r="G8" s="330" t="str">
        <f>IF((RipFloodpl=""),"",IF((RipFloodpl=1),1,""))</f>
        <v/>
      </c>
      <c r="H8" s="331" t="s">
        <v>697</v>
      </c>
      <c r="I8" s="810" t="s">
        <v>988</v>
      </c>
      <c r="J8" s="209"/>
      <c r="K8" s="1668"/>
    </row>
    <row r="9" spans="1:71" s="1325" customFormat="1" ht="30" customHeight="1" thickBot="1" x14ac:dyDescent="0.25">
      <c r="A9" s="317" t="str">
        <f>OF!A39</f>
        <v>OF38</v>
      </c>
      <c r="B9" s="318" t="str">
        <f>OF!C39</f>
        <v>Trumpeter Swan Area</v>
      </c>
      <c r="C9" s="479" t="s">
        <v>892</v>
      </c>
      <c r="D9" s="320"/>
      <c r="E9" s="321"/>
      <c r="F9" s="321"/>
      <c r="G9" s="330" t="str">
        <f>IF((TrumSwan=""),"",IF((TrumSwan=1),1,""))</f>
        <v/>
      </c>
      <c r="H9" s="332" t="s">
        <v>694</v>
      </c>
      <c r="I9" s="842" t="s">
        <v>2482</v>
      </c>
      <c r="J9" s="209"/>
      <c r="K9" s="1668"/>
    </row>
    <row r="10" spans="1:71" s="1325" customFormat="1" ht="26.25" thickBot="1" x14ac:dyDescent="0.25">
      <c r="A10" s="418" t="str">
        <f>OF!A40</f>
        <v>OF39</v>
      </c>
      <c r="B10" s="323" t="str">
        <f>OF!C40</f>
        <v>% Undeveloped Openlands Within 1km</v>
      </c>
      <c r="C10" s="447" t="s">
        <v>406</v>
      </c>
      <c r="D10" s="324"/>
      <c r="E10" s="325"/>
      <c r="F10" s="325"/>
      <c r="G10" s="531" t="str">
        <f>IF((UndevOpenL1k=""),"",UndevOpenL1k)</f>
        <v/>
      </c>
      <c r="H10" s="1412" t="s">
        <v>686</v>
      </c>
      <c r="I10" s="1374" t="s">
        <v>989</v>
      </c>
      <c r="J10" s="210"/>
      <c r="K10" s="940"/>
      <c r="L10" s="940"/>
      <c r="M10" s="940"/>
      <c r="N10" s="940"/>
      <c r="O10" s="940"/>
      <c r="P10" s="940"/>
      <c r="Q10" s="940"/>
      <c r="R10" s="940"/>
      <c r="S10" s="940"/>
      <c r="T10" s="940"/>
      <c r="U10" s="940"/>
      <c r="V10" s="940"/>
      <c r="W10" s="940"/>
      <c r="X10" s="940"/>
      <c r="Y10" s="940"/>
      <c r="Z10" s="940"/>
      <c r="AA10" s="940"/>
      <c r="AB10" s="940"/>
      <c r="AC10" s="940"/>
      <c r="AD10" s="940"/>
      <c r="AE10" s="940"/>
      <c r="AF10" s="940"/>
      <c r="AG10" s="940"/>
      <c r="AH10" s="940"/>
      <c r="AI10" s="940"/>
      <c r="AJ10" s="940"/>
      <c r="AK10" s="940"/>
      <c r="AL10" s="940"/>
      <c r="AM10" s="940"/>
      <c r="AN10" s="940"/>
      <c r="AO10" s="940"/>
      <c r="AP10" s="940"/>
      <c r="AQ10" s="940"/>
      <c r="AR10" s="940"/>
      <c r="AS10" s="940"/>
      <c r="AT10" s="940"/>
      <c r="AU10" s="940"/>
      <c r="AV10" s="940"/>
      <c r="AW10" s="940"/>
      <c r="AX10" s="940"/>
      <c r="AY10" s="940"/>
      <c r="AZ10" s="940"/>
      <c r="BA10" s="940"/>
      <c r="BB10" s="940"/>
      <c r="BC10" s="940"/>
      <c r="BD10" s="940"/>
      <c r="BE10" s="940"/>
      <c r="BF10" s="940"/>
      <c r="BG10" s="940"/>
      <c r="BH10" s="940"/>
      <c r="BI10" s="940"/>
      <c r="BJ10" s="940"/>
      <c r="BK10" s="5"/>
    </row>
    <row r="11" spans="1:71" s="1325" customFormat="1" ht="64.5" thickBot="1" x14ac:dyDescent="0.25">
      <c r="A11" s="317" t="str">
        <f>OF!A42</f>
        <v>OF41</v>
      </c>
      <c r="B11" s="318" t="str">
        <f>OF!C42</f>
        <v>Marsh or Shallow Open Water Area/All Marsh &amp; Shallow Open Water Area Within 1k</v>
      </c>
      <c r="C11" s="479" t="s">
        <v>406</v>
      </c>
      <c r="D11" s="320"/>
      <c r="E11" s="321"/>
      <c r="F11" s="321"/>
      <c r="G11" s="502" t="str">
        <f>IF((UniqMarshShallowOW=""),"",UniqMarshShallowOW)</f>
        <v/>
      </c>
      <c r="H11" s="464" t="s">
        <v>2271</v>
      </c>
      <c r="I11" s="810" t="s">
        <v>2405</v>
      </c>
      <c r="J11" s="203"/>
      <c r="K11" s="1668"/>
    </row>
    <row r="12" spans="1:71" s="1325" customFormat="1" ht="104.25" customHeight="1" thickBot="1" x14ac:dyDescent="0.25">
      <c r="A12" s="317" t="str">
        <f>OF!A47</f>
        <v>OF46</v>
      </c>
      <c r="B12" s="318" t="str">
        <f>OF!C47</f>
        <v>Wetland Density Within 1km (excluding those with no open water)</v>
      </c>
      <c r="C12" s="479" t="s">
        <v>406</v>
      </c>
      <c r="D12" s="320"/>
      <c r="E12" s="321"/>
      <c r="F12" s="321"/>
      <c r="G12" s="502" t="str">
        <f>IF((WetDens1k_OW=""),"",WetDens1k_OW)</f>
        <v/>
      </c>
      <c r="H12" s="464" t="s">
        <v>703</v>
      </c>
      <c r="I12" s="839" t="s">
        <v>1867</v>
      </c>
      <c r="J12" s="203"/>
      <c r="K12" s="940"/>
      <c r="L12" s="940"/>
      <c r="M12" s="940"/>
      <c r="N12" s="940"/>
      <c r="O12" s="940"/>
      <c r="P12" s="940"/>
      <c r="Q12" s="940"/>
      <c r="R12" s="940"/>
      <c r="S12" s="940"/>
      <c r="T12" s="940"/>
      <c r="U12" s="940"/>
      <c r="V12" s="940"/>
      <c r="W12" s="940"/>
      <c r="X12" s="940"/>
      <c r="Y12" s="940"/>
      <c r="Z12" s="940"/>
      <c r="AA12" s="940"/>
      <c r="AB12" s="940"/>
      <c r="AC12" s="940"/>
      <c r="AD12" s="940"/>
      <c r="AE12" s="940"/>
      <c r="AF12" s="940"/>
      <c r="AG12" s="940"/>
      <c r="AH12" s="940"/>
      <c r="AI12" s="940"/>
      <c r="AJ12" s="940"/>
      <c r="AK12" s="940"/>
      <c r="AL12" s="940"/>
      <c r="AM12" s="940"/>
      <c r="AN12" s="940"/>
      <c r="AO12" s="940"/>
      <c r="AP12" s="940"/>
      <c r="AQ12" s="940"/>
      <c r="AR12" s="940"/>
      <c r="AS12" s="940"/>
      <c r="AT12" s="940"/>
      <c r="AU12" s="940"/>
      <c r="AV12" s="940"/>
      <c r="AW12" s="940"/>
      <c r="AX12" s="940"/>
      <c r="AY12" s="940"/>
      <c r="AZ12" s="940"/>
      <c r="BA12" s="940"/>
      <c r="BB12" s="940"/>
      <c r="BC12" s="940"/>
      <c r="BD12" s="940"/>
      <c r="BE12" s="940"/>
      <c r="BF12" s="940"/>
      <c r="BG12" s="940"/>
      <c r="BH12" s="940"/>
      <c r="BI12" s="940"/>
      <c r="BJ12" s="940"/>
      <c r="BK12" s="5"/>
    </row>
    <row r="13" spans="1:71" s="1325" customFormat="1" ht="66" customHeight="1" thickBot="1" x14ac:dyDescent="0.25">
      <c r="A13" s="444" t="str">
        <f>OF!A50</f>
        <v>OF49</v>
      </c>
      <c r="B13" s="316" t="str">
        <f>OF!C50</f>
        <v>Wetland Vegetated Area (in hectares)</v>
      </c>
      <c r="C13" s="480" t="s">
        <v>406</v>
      </c>
      <c r="D13" s="460"/>
      <c r="E13" s="461"/>
      <c r="F13" s="461"/>
      <c r="G13" s="208" t="str">
        <f>IF((WetVegArea=""),"",WetVegArea)</f>
        <v/>
      </c>
      <c r="H13" s="467" t="s">
        <v>656</v>
      </c>
      <c r="I13" s="1425" t="s">
        <v>1353</v>
      </c>
      <c r="J13" s="209"/>
      <c r="K13" s="1668"/>
    </row>
    <row r="14" spans="1:71" s="1007" customFormat="1" ht="51" customHeight="1" thickBot="1" x14ac:dyDescent="0.35">
      <c r="A14" s="997" t="s">
        <v>78</v>
      </c>
      <c r="B14" s="1063" t="s">
        <v>709</v>
      </c>
      <c r="C14" s="1021" t="s">
        <v>708</v>
      </c>
      <c r="D14" s="1064" t="s">
        <v>33</v>
      </c>
      <c r="E14" s="1065" t="s">
        <v>1131</v>
      </c>
      <c r="F14" s="1066" t="s">
        <v>1130</v>
      </c>
      <c r="G14" s="1067" t="s">
        <v>710</v>
      </c>
      <c r="H14" s="1068" t="s">
        <v>2028</v>
      </c>
      <c r="I14" s="1005" t="s">
        <v>917</v>
      </c>
      <c r="J14" s="1006"/>
    </row>
    <row r="15" spans="1:71" s="1669" customFormat="1" ht="21" customHeight="1" thickBot="1" x14ac:dyDescent="0.25">
      <c r="A15" s="2197" t="str">
        <f>F!A5</f>
        <v>F1</v>
      </c>
      <c r="B15" s="2207" t="str">
        <f>F!B5</f>
        <v>Wetland Type - Predominant</v>
      </c>
      <c r="C15" s="920" t="str">
        <f>F!C5</f>
        <v>Follow the key below and mark the ONE row that best describes MOST of the AA:</v>
      </c>
      <c r="D15" s="777"/>
      <c r="E15" s="368"/>
      <c r="F15" s="234"/>
      <c r="G15" s="232">
        <f>MAX(F16:F21)</f>
        <v>0</v>
      </c>
      <c r="H15" s="1867" t="s">
        <v>127</v>
      </c>
      <c r="I15" s="2011" t="s">
        <v>2483</v>
      </c>
      <c r="J15" s="44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row>
    <row r="16" spans="1:71" s="1669" customFormat="1" ht="38.25" x14ac:dyDescent="0.2">
      <c r="A16" s="2198"/>
      <c r="B16" s="2208"/>
      <c r="C16" s="919" t="str">
        <f>F!C6</f>
        <v>A. Moss and/or lichen cover more than 25% of the ground. Substrate is mostly undecomposed peat. Choose between A1 and A2 and mark the choice with a 1 in their adjoining column. Otherwise go to B below.</v>
      </c>
      <c r="D16" s="749"/>
      <c r="E16" s="749"/>
      <c r="F16" s="749"/>
      <c r="G16" s="749"/>
      <c r="H16" s="1911"/>
      <c r="I16" s="2040"/>
      <c r="J16" s="44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row>
    <row r="17" spans="1:71" s="1669" customFormat="1" ht="89.25" x14ac:dyDescent="0.2">
      <c r="A17" s="2198"/>
      <c r="B17" s="2208"/>
      <c r="C17" s="918" t="str">
        <f>F!C7</f>
        <v xml:space="preserve">   A1. Surface water is usually absent or, if present, pH is typically &lt;4.5 and conductivity is &lt;100 µS/cm (about 64 ppm TDS).  Often dominated by ericaceous shrubs (e.g., Labrador tea, lingonberry), sometimes with pitcher plant, sundew. Sedge cover usually sparse or absent. Trees, if present, are mainly limited to black spruce.  Wetland surface is never sloping, except sometimes from wetland center towards outer edges (convex), and surrounding landscape is flat.  Inlet and outlet channels are usually absent.</v>
      </c>
      <c r="D17" s="751">
        <f>F!D7</f>
        <v>0</v>
      </c>
      <c r="E17" s="917">
        <v>0.2</v>
      </c>
      <c r="F17" s="748">
        <f>D17*E17</f>
        <v>0</v>
      </c>
      <c r="G17" s="749"/>
      <c r="H17" s="1911"/>
      <c r="I17" s="2040"/>
      <c r="J17" s="44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row>
    <row r="18" spans="1:71" s="1669" customFormat="1" ht="63.75" x14ac:dyDescent="0.2">
      <c r="A18" s="2198"/>
      <c r="B18" s="2208"/>
      <c r="C18" s="918" t="str">
        <f>F!C8</f>
        <v xml:space="preserve">   A2. Not A1. Surface water, if present, has pH typically &gt;4.5 and conductivity is &gt;100 µS/cm.  Sedges and/or cottongrass often dominate the ground cover, while ericaceous shrubs and black spruce may also be present. Sometimes at toe of slope or edge of water body. An exit channel is usually present. Wetter than A1, often with many small persistent pools.</v>
      </c>
      <c r="D18" s="751">
        <f>F!D8</f>
        <v>0</v>
      </c>
      <c r="E18" s="917">
        <v>0.16</v>
      </c>
      <c r="F18" s="748">
        <f t="shared" ref="F18:F21" si="0">D18*E18</f>
        <v>0</v>
      </c>
      <c r="G18" s="749"/>
      <c r="H18" s="1911"/>
      <c r="I18" s="2040"/>
      <c r="J18" s="44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row>
    <row r="19" spans="1:71" s="1669" customFormat="1" ht="38.25" x14ac:dyDescent="0.2">
      <c r="A19" s="2198"/>
      <c r="B19" s="2208"/>
      <c r="C19" s="918" t="str">
        <f>F!C9</f>
        <v>B. Moss and/or lichen cover less than 25% of the ground. Soil is mineral or decomposed organic (muck). Choose between B1 and B2 and mark the choice with a 1 in their adjoining column:</v>
      </c>
      <c r="D19" s="749"/>
      <c r="E19" s="749"/>
      <c r="F19" s="749"/>
      <c r="G19" s="749"/>
      <c r="H19" s="1911"/>
      <c r="I19" s="2040"/>
      <c r="J19" s="44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row>
    <row r="20" spans="1:71" s="1669" customFormat="1" ht="51" x14ac:dyDescent="0.2">
      <c r="A20" s="2198"/>
      <c r="B20" s="2208"/>
      <c r="C20" s="918" t="str">
        <f>F!C10</f>
        <v xml:space="preserve">   B1. Trees and shrubs taller than 1 m comprise more than 25% of the vegetated cover. Surface water is mostly absent or inundates the vegetation only seasonally (e.g., snowmelt pools or floodplain).  Often in riparian settings, abandoned beaver flowages.</v>
      </c>
      <c r="D20" s="751">
        <f>F!D10</f>
        <v>0</v>
      </c>
      <c r="E20" s="917">
        <v>0.16</v>
      </c>
      <c r="F20" s="748">
        <f t="shared" si="0"/>
        <v>0</v>
      </c>
      <c r="G20" s="749"/>
      <c r="H20" s="1911"/>
      <c r="I20" s="2040"/>
      <c r="J20" s="44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row>
    <row r="21" spans="1:71" s="1669" customFormat="1" ht="77.25" thickBot="1" x14ac:dyDescent="0.25">
      <c r="A21" s="2198"/>
      <c r="B21" s="2208"/>
      <c r="C21" s="918" t="str">
        <f>F!C11</f>
        <v xml:space="preserve">   B2. Not B1.  Tree &amp; tall shrubs taller than 1 m comprise less than 25% of the vegetated cover. Vegetation is mostly herbaceous, e.g., cattail, bulrush, burreed, pond lily, horsetail.  Often in depressions (potholes, created ponds), or along lakes and rivers, or where fill has blocked water movement causing prolonged flooding of wetlands formerly covered by moss.  Surface water often fluctuates widely among seasons and years.</v>
      </c>
      <c r="D21" s="751">
        <f>F!D11</f>
        <v>0</v>
      </c>
      <c r="E21" s="917">
        <v>1</v>
      </c>
      <c r="F21" s="748">
        <f t="shared" si="0"/>
        <v>0</v>
      </c>
      <c r="G21" s="749"/>
      <c r="H21" s="1911"/>
      <c r="I21" s="2040"/>
      <c r="J21" s="44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row>
    <row r="22" spans="1:71" ht="45" customHeight="1" thickBot="1" x14ac:dyDescent="0.25">
      <c r="A22" s="2036" t="str">
        <f>F!A18</f>
        <v>F3</v>
      </c>
      <c r="B22" s="2000" t="str">
        <f>F!B18</f>
        <v>Woody Cover by Height</v>
      </c>
      <c r="C22" s="399" t="str">
        <f>F!C18</f>
        <v>Following EACH row below, indicate with a number code the percentage of the of the living vegetation in the AA occupied by that feature (5 if &gt;75%,   4 if 50-75%,   3 if 25-50%,   2 if 5-25%,   1 if &lt;5%, 0 if none).  If the AA has no trees or shrubs, SKIP to F8.</v>
      </c>
      <c r="D22" s="777"/>
      <c r="E22" s="376"/>
      <c r="F22" s="376"/>
      <c r="G22" s="232" t="str">
        <f>IF((MAX(D23,D24)&gt;3),0,"")</f>
        <v/>
      </c>
      <c r="H22" s="2158" t="s">
        <v>495</v>
      </c>
      <c r="I22" s="2011" t="s">
        <v>2032</v>
      </c>
    </row>
    <row r="23" spans="1:71" ht="15" customHeight="1" x14ac:dyDescent="0.2">
      <c r="A23" s="2035"/>
      <c r="B23" s="1989"/>
      <c r="C23" s="926" t="str">
        <f>F!C19</f>
        <v>coniferous trees (including tamarack) taller than 3 m.</v>
      </c>
      <c r="D23" s="197">
        <f>F!D19</f>
        <v>0</v>
      </c>
      <c r="E23" s="722"/>
      <c r="F23" s="380"/>
      <c r="G23" s="760"/>
      <c r="H23" s="2159"/>
      <c r="I23" s="2040"/>
    </row>
    <row r="24" spans="1:71" ht="15" customHeight="1" x14ac:dyDescent="0.2">
      <c r="A24" s="2035"/>
      <c r="B24" s="1989"/>
      <c r="C24" s="926" t="str">
        <f>F!C20</f>
        <v>deciduous trees taller than 3 m.</v>
      </c>
      <c r="D24" s="197">
        <f>F!D20</f>
        <v>0</v>
      </c>
      <c r="E24" s="722"/>
      <c r="F24" s="380"/>
      <c r="G24" s="760"/>
      <c r="H24" s="2159"/>
      <c r="I24" s="2040"/>
    </row>
    <row r="25" spans="1:71" ht="21" customHeight="1" x14ac:dyDescent="0.2">
      <c r="A25" s="2035"/>
      <c r="B25" s="1989"/>
      <c r="C25" s="926" t="str">
        <f>F!C21</f>
        <v>coniferous or ericaceous shrubs or trees 1-3 m tall not directly below the canopy of trees.</v>
      </c>
      <c r="D25" s="197">
        <f>F!D21</f>
        <v>0</v>
      </c>
      <c r="E25" s="722"/>
      <c r="F25" s="380"/>
      <c r="G25" s="760"/>
      <c r="H25" s="2159"/>
      <c r="I25" s="2040"/>
    </row>
    <row r="26" spans="1:71" ht="27" customHeight="1" x14ac:dyDescent="0.2">
      <c r="A26" s="2035"/>
      <c r="B26" s="1989"/>
      <c r="C26" s="926" t="str">
        <f>F!C22</f>
        <v>deciduous shrubs or trees 1-3 m tall not directly below the canopy of trees &gt;3 m (e.g., deciduous saplings).</v>
      </c>
      <c r="D26" s="197">
        <f>F!D22</f>
        <v>0</v>
      </c>
      <c r="E26" s="722"/>
      <c r="F26" s="380"/>
      <c r="G26" s="760"/>
      <c r="H26" s="2159"/>
      <c r="I26" s="2040"/>
    </row>
    <row r="27" spans="1:71" ht="27" customHeight="1" x14ac:dyDescent="0.2">
      <c r="A27" s="2035"/>
      <c r="B27" s="1989"/>
      <c r="C27" s="926" t="str">
        <f>F!C23</f>
        <v>coniferous or ericaceous shrubs or trees &lt;1 m tall not directly below the canopy of taller vegetation.</v>
      </c>
      <c r="D27" s="197">
        <f>F!D23</f>
        <v>0</v>
      </c>
      <c r="E27" s="380"/>
      <c r="F27" s="380"/>
      <c r="G27" s="744"/>
      <c r="H27" s="2159"/>
      <c r="I27" s="2040"/>
    </row>
    <row r="28" spans="1:71" ht="15" customHeight="1" thickBot="1" x14ac:dyDescent="0.25">
      <c r="A28" s="2037"/>
      <c r="B28" s="1990"/>
      <c r="C28" s="927" t="str">
        <f>F!C24</f>
        <v>deciduous shrubs or trees &lt;1 m tall (e.g., deciduous seedlings).</v>
      </c>
      <c r="D28" s="928">
        <f>F!D24</f>
        <v>0</v>
      </c>
      <c r="E28" s="244"/>
      <c r="F28" s="244"/>
      <c r="G28" s="237"/>
      <c r="H28" s="2160"/>
      <c r="I28" s="2041"/>
    </row>
    <row r="29" spans="1:71" s="212" customFormat="1" ht="39" thickBot="1" x14ac:dyDescent="0.25">
      <c r="A29" s="2214" t="str">
        <f>F!A25</f>
        <v>F4</v>
      </c>
      <c r="B29" s="2209" t="str">
        <f>F!B25</f>
        <v>Woody Diameter Classes</v>
      </c>
      <c r="C29" s="519" t="str">
        <f>F!C25</f>
        <v>Mark all the diameter classes of woody plants within the AA, but only IF they comprise &gt;5% of the woody canopy or subcanopy within the AA.  Do not count trees that adjoin but are not within the AA.</v>
      </c>
      <c r="D29" s="378"/>
      <c r="E29" s="368"/>
      <c r="F29" s="234"/>
      <c r="G29" s="225" t="str">
        <f>IF((SUM(F!D19:D20)=0),"",(MAX(F30:F37)/MAX(E30:E37)))</f>
        <v/>
      </c>
      <c r="H29" s="1910" t="s">
        <v>136</v>
      </c>
      <c r="I29" s="2011" t="s">
        <v>1192</v>
      </c>
      <c r="J29" s="138"/>
    </row>
    <row r="30" spans="1:71" s="212" customFormat="1" ht="15" customHeight="1" x14ac:dyDescent="0.2">
      <c r="A30" s="2215"/>
      <c r="B30" s="2216"/>
      <c r="C30" s="516" t="str">
        <f>F!C26</f>
        <v>coniferous, 1-9 cm diameter and &gt;1 m tall.</v>
      </c>
      <c r="D30" s="431">
        <f>F!D26</f>
        <v>0</v>
      </c>
      <c r="E30" s="369">
        <v>0</v>
      </c>
      <c r="F30" s="377">
        <f t="shared" ref="F30:F41" si="1">D30*E30</f>
        <v>0</v>
      </c>
      <c r="G30" s="235"/>
      <c r="H30" s="1881"/>
      <c r="I30" s="2040"/>
      <c r="J30" s="138"/>
    </row>
    <row r="31" spans="1:71" s="212" customFormat="1" ht="15" customHeight="1" x14ac:dyDescent="0.2">
      <c r="A31" s="2215"/>
      <c r="B31" s="2216"/>
      <c r="C31" s="517" t="str">
        <f>F!C27</f>
        <v>broad-leaved deciduous 1-9 cm diameter and &gt;1 m tall.</v>
      </c>
      <c r="D31" s="431">
        <f>F!D27</f>
        <v>0</v>
      </c>
      <c r="E31" s="369">
        <v>0</v>
      </c>
      <c r="F31" s="377">
        <f t="shared" si="1"/>
        <v>0</v>
      </c>
      <c r="G31" s="236"/>
      <c r="H31" s="1881"/>
      <c r="I31" s="2040"/>
      <c r="J31" s="138"/>
    </row>
    <row r="32" spans="1:71" s="212" customFormat="1" ht="15" customHeight="1" x14ac:dyDescent="0.2">
      <c r="A32" s="2215"/>
      <c r="B32" s="2216"/>
      <c r="C32" s="517" t="str">
        <f>F!C28</f>
        <v>coniferous, 10-19 cm diameter.</v>
      </c>
      <c r="D32" s="431">
        <f>F!D28</f>
        <v>0</v>
      </c>
      <c r="E32" s="369">
        <v>0</v>
      </c>
      <c r="F32" s="377">
        <f t="shared" si="1"/>
        <v>0</v>
      </c>
      <c r="G32" s="236"/>
      <c r="H32" s="1881"/>
      <c r="I32" s="2040"/>
      <c r="J32" s="138"/>
    </row>
    <row r="33" spans="1:10" s="212" customFormat="1" ht="15" customHeight="1" x14ac:dyDescent="0.2">
      <c r="A33" s="2215"/>
      <c r="B33" s="2216"/>
      <c r="C33" s="517" t="str">
        <f>F!C29</f>
        <v>broad-leaved deciduous 10-19 cm diameter.</v>
      </c>
      <c r="D33" s="431">
        <f>F!D29</f>
        <v>0</v>
      </c>
      <c r="E33" s="369">
        <v>0</v>
      </c>
      <c r="F33" s="377">
        <f t="shared" si="1"/>
        <v>0</v>
      </c>
      <c r="G33" s="236"/>
      <c r="H33" s="1881"/>
      <c r="I33" s="2040"/>
      <c r="J33" s="138"/>
    </row>
    <row r="34" spans="1:10" s="212" customFormat="1" ht="15" customHeight="1" x14ac:dyDescent="0.2">
      <c r="A34" s="2215"/>
      <c r="B34" s="2216"/>
      <c r="C34" s="517" t="str">
        <f>F!C30</f>
        <v>coniferous, 20-40 cm diameter.</v>
      </c>
      <c r="D34" s="431">
        <f>F!D30</f>
        <v>0</v>
      </c>
      <c r="E34" s="369">
        <v>2</v>
      </c>
      <c r="F34" s="377">
        <f t="shared" si="1"/>
        <v>0</v>
      </c>
      <c r="G34" s="236"/>
      <c r="H34" s="1881"/>
      <c r="I34" s="2040"/>
      <c r="J34" s="138"/>
    </row>
    <row r="35" spans="1:10" s="212" customFormat="1" ht="15" customHeight="1" x14ac:dyDescent="0.2">
      <c r="A35" s="2215"/>
      <c r="B35" s="2216"/>
      <c r="C35" s="517" t="str">
        <f>F!C31</f>
        <v>broad-leaved deciduous 20-40 cm diameter.</v>
      </c>
      <c r="D35" s="431">
        <f>F!D31</f>
        <v>0</v>
      </c>
      <c r="E35" s="369">
        <v>2</v>
      </c>
      <c r="F35" s="377">
        <f t="shared" si="1"/>
        <v>0</v>
      </c>
      <c r="G35" s="236"/>
      <c r="H35" s="1881"/>
      <c r="I35" s="2040"/>
      <c r="J35" s="138"/>
    </row>
    <row r="36" spans="1:10" s="212" customFormat="1" ht="15" customHeight="1" x14ac:dyDescent="0.2">
      <c r="A36" s="2215"/>
      <c r="B36" s="2216"/>
      <c r="C36" s="517" t="str">
        <f>F!C32</f>
        <v>coniferous, &gt;40 cm diameter.</v>
      </c>
      <c r="D36" s="431">
        <f>F!D32</f>
        <v>0</v>
      </c>
      <c r="E36" s="369">
        <v>3</v>
      </c>
      <c r="F36" s="377">
        <f t="shared" si="1"/>
        <v>0</v>
      </c>
      <c r="G36" s="236"/>
      <c r="H36" s="1881"/>
      <c r="I36" s="2040"/>
      <c r="J36" s="138"/>
    </row>
    <row r="37" spans="1:10" s="212" customFormat="1" ht="15" customHeight="1" thickBot="1" x14ac:dyDescent="0.25">
      <c r="A37" s="2217"/>
      <c r="B37" s="2218"/>
      <c r="C37" s="520" t="str">
        <f>F!C33</f>
        <v>broad-leaved deciduous &gt;40 cm diameter.</v>
      </c>
      <c r="D37" s="194">
        <f>F!D33</f>
        <v>0</v>
      </c>
      <c r="E37" s="205">
        <v>3</v>
      </c>
      <c r="F37" s="266">
        <f t="shared" si="1"/>
        <v>0</v>
      </c>
      <c r="G37" s="237"/>
      <c r="H37" s="1882"/>
      <c r="I37" s="2041"/>
      <c r="J37" s="138"/>
    </row>
    <row r="38" spans="1:10" s="212" customFormat="1" ht="30" customHeight="1" thickBot="1" x14ac:dyDescent="0.25">
      <c r="A38" s="2204" t="str">
        <f>F!A53</f>
        <v>F9</v>
      </c>
      <c r="B38" s="2197" t="str">
        <f>F!B53</f>
        <v>Large Snags (Dead Standing Trees)</v>
      </c>
      <c r="C38" s="508" t="str">
        <f>F!C53</f>
        <v>The number of large snags (diameter &gt;20 cm) in the AA plus adjoining upland area within 10 m of the wetland edge is:</v>
      </c>
      <c r="D38" s="774"/>
      <c r="E38" s="368"/>
      <c r="F38" s="262"/>
      <c r="G38" s="232" t="str">
        <f>IF((SUM(F!D19:D24)=0),"",IF((SUM(F!D19:D20)=0),"",MAX(F39:F41)/MAX(E39:E41)))</f>
        <v/>
      </c>
      <c r="H38" s="1910" t="s">
        <v>135</v>
      </c>
      <c r="I38" s="2011" t="s">
        <v>1761</v>
      </c>
      <c r="J38" s="138"/>
    </row>
    <row r="39" spans="1:10" s="212" customFormat="1" ht="15" customHeight="1" x14ac:dyDescent="0.2">
      <c r="A39" s="2204"/>
      <c r="B39" s="2198"/>
      <c r="C39" s="919" t="str">
        <f>F!C54</f>
        <v>Few or none that meet these criteria.</v>
      </c>
      <c r="D39" s="751">
        <f>F!D54</f>
        <v>0</v>
      </c>
      <c r="E39" s="206">
        <v>0</v>
      </c>
      <c r="F39" s="722">
        <f t="shared" si="1"/>
        <v>0</v>
      </c>
      <c r="G39" s="760"/>
      <c r="H39" s="1881"/>
      <c r="I39" s="2040"/>
      <c r="J39" s="138"/>
    </row>
    <row r="40" spans="1:10" s="212" customFormat="1" ht="25.5" x14ac:dyDescent="0.2">
      <c r="A40" s="2204"/>
      <c r="B40" s="2198"/>
      <c r="C40" s="918" t="str">
        <f>F!C55</f>
        <v>Several ( &gt;5/hectare) and a pond, lake, or slow-flowing water wider than 10 m is within 1 km.</v>
      </c>
      <c r="D40" s="751">
        <f>F!D55</f>
        <v>0</v>
      </c>
      <c r="E40" s="748">
        <v>2</v>
      </c>
      <c r="F40" s="722">
        <f t="shared" si="1"/>
        <v>0</v>
      </c>
      <c r="G40" s="722"/>
      <c r="H40" s="1881"/>
      <c r="I40" s="2040"/>
      <c r="J40" s="138"/>
    </row>
    <row r="41" spans="1:10" s="212" customFormat="1" ht="15" customHeight="1" thickBot="1" x14ac:dyDescent="0.25">
      <c r="A41" s="2204"/>
      <c r="B41" s="2202"/>
      <c r="C41" s="511" t="str">
        <f>F!C56</f>
        <v>Several ( &gt;5/hectare) but above not true.</v>
      </c>
      <c r="D41" s="192">
        <f>F!D56</f>
        <v>0</v>
      </c>
      <c r="E41" s="205">
        <v>1</v>
      </c>
      <c r="F41" s="244">
        <f t="shared" si="1"/>
        <v>0</v>
      </c>
      <c r="G41" s="1670"/>
      <c r="H41" s="1882"/>
      <c r="I41" s="2041"/>
      <c r="J41" s="138"/>
    </row>
    <row r="42" spans="1:10" s="212" customFormat="1" ht="45" customHeight="1" thickBot="1" x14ac:dyDescent="0.25">
      <c r="A42" s="2203" t="str">
        <f>F!A84</f>
        <v>F15</v>
      </c>
      <c r="B42" s="2198" t="str">
        <f>F!B84</f>
        <v>Shorebird Feeding Habitats</v>
      </c>
      <c r="C42" s="807" t="str">
        <f>F!C84</f>
        <v>During any 2 consecutive weeks of the growing season, the extent of mudflats, bare unshaded saturated areas not covered by thatch, and unshaded waters shallower than 6 cm is:  [include also any area that immediately adjoins the AA].</v>
      </c>
      <c r="D42" s="801"/>
      <c r="E42" s="206"/>
      <c r="F42" s="239"/>
      <c r="G42" s="219">
        <f>MAX(F43:F46)/MAX(E43:E46)</f>
        <v>0</v>
      </c>
      <c r="H42" s="1881" t="s">
        <v>747</v>
      </c>
      <c r="I42" s="2040" t="s">
        <v>990</v>
      </c>
      <c r="J42" s="138"/>
    </row>
    <row r="43" spans="1:10" s="212" customFormat="1" ht="15" customHeight="1" x14ac:dyDescent="0.2">
      <c r="A43" s="2204"/>
      <c r="B43" s="2198"/>
      <c r="C43" s="532" t="str">
        <f>F!C85</f>
        <v>none, or &lt;100 sq. m within the AA.</v>
      </c>
      <c r="D43" s="382">
        <f>F!D85</f>
        <v>0</v>
      </c>
      <c r="E43" s="369">
        <v>0</v>
      </c>
      <c r="F43" s="380">
        <f>D43*E43</f>
        <v>0</v>
      </c>
      <c r="G43" s="236"/>
      <c r="H43" s="1881"/>
      <c r="I43" s="2040"/>
      <c r="J43" s="138"/>
    </row>
    <row r="44" spans="1:10" s="212" customFormat="1" ht="15" customHeight="1" x14ac:dyDescent="0.2">
      <c r="A44" s="2204"/>
      <c r="B44" s="2198"/>
      <c r="C44" s="524" t="str">
        <f>F!C86</f>
        <v>100-1000 sq. m within the AA.</v>
      </c>
      <c r="D44" s="382">
        <f>F!D86</f>
        <v>0</v>
      </c>
      <c r="E44" s="369">
        <v>1</v>
      </c>
      <c r="F44" s="380">
        <f>D44*E44</f>
        <v>0</v>
      </c>
      <c r="G44" s="236"/>
      <c r="H44" s="1881"/>
      <c r="I44" s="2040"/>
      <c r="J44" s="138"/>
    </row>
    <row r="45" spans="1:10" s="212" customFormat="1" ht="15" customHeight="1" x14ac:dyDescent="0.2">
      <c r="A45" s="2204"/>
      <c r="B45" s="2198"/>
      <c r="C45" s="524" t="str">
        <f>F!C87</f>
        <v>1000 – 10,000 sq. m within the AA.</v>
      </c>
      <c r="D45" s="382">
        <f>F!D87</f>
        <v>0</v>
      </c>
      <c r="E45" s="369">
        <v>2</v>
      </c>
      <c r="F45" s="380">
        <f>D45*E45</f>
        <v>0</v>
      </c>
      <c r="G45" s="236"/>
      <c r="H45" s="1881"/>
      <c r="I45" s="2040"/>
      <c r="J45" s="138"/>
    </row>
    <row r="46" spans="1:10" s="212" customFormat="1" ht="15" customHeight="1" thickBot="1" x14ac:dyDescent="0.25">
      <c r="A46" s="2205"/>
      <c r="B46" s="2202"/>
      <c r="C46" s="525" t="str">
        <f>F!C88</f>
        <v>&gt;10,000 sq. m within the AA.</v>
      </c>
      <c r="D46" s="192">
        <f>F!D88</f>
        <v>0</v>
      </c>
      <c r="E46" s="205">
        <v>3</v>
      </c>
      <c r="F46" s="244">
        <f>D46*E46</f>
        <v>0</v>
      </c>
      <c r="G46" s="237"/>
      <c r="H46" s="1882"/>
      <c r="I46" s="2041"/>
      <c r="J46" s="138"/>
    </row>
    <row r="47" spans="1:10" s="213" customFormat="1" ht="30" customHeight="1" thickBot="1" x14ac:dyDescent="0.25">
      <c r="A47" s="2219" t="str">
        <f>F!A89</f>
        <v>F16</v>
      </c>
      <c r="B47" s="2216" t="str">
        <f>F!B89</f>
        <v>Herbaceous - Percent of Vegetated Wetland</v>
      </c>
      <c r="C47" s="512" t="str">
        <f>F!C89</f>
        <v>In aerial ("ducks eye") view, the maximum annual cover of herbaceous vegetation (excluding moss) that is not under shrubs or trees is:</v>
      </c>
      <c r="D47" s="238"/>
      <c r="E47" s="239"/>
      <c r="F47" s="240"/>
      <c r="G47" s="219">
        <f>MAX(F48:F52)/MAX(E48:E52)</f>
        <v>0</v>
      </c>
      <c r="H47" s="2158" t="s">
        <v>134</v>
      </c>
      <c r="I47" s="2040" t="s">
        <v>279</v>
      </c>
      <c r="J47" s="134"/>
    </row>
    <row r="48" spans="1:10" s="213" customFormat="1" ht="27" customHeight="1" x14ac:dyDescent="0.2">
      <c r="A48" s="2219"/>
      <c r="B48" s="2216"/>
      <c r="C48" s="516" t="str">
        <f>F!C90</f>
        <v>&lt;5% of the vegetated part of the AA or &lt;0.01 hectare (whichever is less).  Mark "1" here and SKIP to F20 (Invasive Plant Cover).</v>
      </c>
      <c r="D48" s="92">
        <f>F!D90</f>
        <v>0</v>
      </c>
      <c r="E48" s="241">
        <v>0</v>
      </c>
      <c r="F48" s="241">
        <f>D48*E48</f>
        <v>0</v>
      </c>
      <c r="G48" s="235"/>
      <c r="H48" s="2159"/>
      <c r="I48" s="2040"/>
      <c r="J48" s="134"/>
    </row>
    <row r="49" spans="1:10" s="213" customFormat="1" ht="15" customHeight="1" x14ac:dyDescent="0.2">
      <c r="A49" s="2219"/>
      <c r="B49" s="2216"/>
      <c r="C49" s="517" t="str">
        <f>F!C91</f>
        <v>5-25% of the vegetated AA.</v>
      </c>
      <c r="D49" s="92">
        <f>F!D91</f>
        <v>0</v>
      </c>
      <c r="E49" s="241">
        <v>2</v>
      </c>
      <c r="F49" s="241">
        <f>D49*E49</f>
        <v>0</v>
      </c>
      <c r="G49" s="236"/>
      <c r="H49" s="2159"/>
      <c r="I49" s="2040"/>
      <c r="J49" s="134"/>
    </row>
    <row r="50" spans="1:10" s="213" customFormat="1" ht="15" customHeight="1" x14ac:dyDescent="0.2">
      <c r="A50" s="2219"/>
      <c r="B50" s="2216"/>
      <c r="C50" s="517" t="str">
        <f>F!C92</f>
        <v>25-50% of the vegetated AA.</v>
      </c>
      <c r="D50" s="92">
        <f>F!D92</f>
        <v>0</v>
      </c>
      <c r="E50" s="241">
        <v>3</v>
      </c>
      <c r="F50" s="241">
        <f>D50*E50</f>
        <v>0</v>
      </c>
      <c r="G50" s="236"/>
      <c r="H50" s="2159"/>
      <c r="I50" s="2040"/>
      <c r="J50" s="134"/>
    </row>
    <row r="51" spans="1:10" s="213" customFormat="1" ht="15" customHeight="1" x14ac:dyDescent="0.2">
      <c r="A51" s="2219"/>
      <c r="B51" s="2216"/>
      <c r="C51" s="517" t="str">
        <f>F!C93</f>
        <v>50-95% of the vegetated AA.</v>
      </c>
      <c r="D51" s="92">
        <f>F!D93</f>
        <v>0</v>
      </c>
      <c r="E51" s="241">
        <v>4</v>
      </c>
      <c r="F51" s="241">
        <f>D51*E51</f>
        <v>0</v>
      </c>
      <c r="G51" s="236"/>
      <c r="H51" s="2159"/>
      <c r="I51" s="2040"/>
      <c r="J51" s="134"/>
    </row>
    <row r="52" spans="1:10" s="213" customFormat="1" ht="15" customHeight="1" thickBot="1" x14ac:dyDescent="0.25">
      <c r="A52" s="2219"/>
      <c r="B52" s="2216"/>
      <c r="C52" s="929" t="str">
        <f>F!C94</f>
        <v>&gt;95% of the vegetated AA.</v>
      </c>
      <c r="D52" s="529">
        <f>F!D94</f>
        <v>0</v>
      </c>
      <c r="E52" s="380">
        <v>5</v>
      </c>
      <c r="F52" s="380">
        <f>D52*E52</f>
        <v>0</v>
      </c>
      <c r="G52" s="744"/>
      <c r="H52" s="2159"/>
      <c r="I52" s="2040"/>
      <c r="J52" s="134"/>
    </row>
    <row r="53" spans="1:10" s="211" customFormat="1" ht="39" thickBot="1" x14ac:dyDescent="0.25">
      <c r="A53" s="2211" t="str">
        <f>F!A121</f>
        <v>F22</v>
      </c>
      <c r="B53" s="2197" t="str">
        <f>F!B121</f>
        <v>% Never With Surface Water</v>
      </c>
      <c r="C53" s="519" t="str">
        <f>F!C121</f>
        <v>The percentage of the AA that never contains surface water during an average year (that is, except perhaps for a few hours after snowmelt or rainstorms), but which is still a wetland, is:</v>
      </c>
      <c r="D53" s="282"/>
      <c r="E53" s="777"/>
      <c r="F53" s="376"/>
      <c r="G53" s="225">
        <f>MAX(F54:F58)/MAX(E54:E58)</f>
        <v>0</v>
      </c>
      <c r="H53" s="1867" t="s">
        <v>287</v>
      </c>
      <c r="I53" s="2011" t="s">
        <v>404</v>
      </c>
      <c r="J53" s="441"/>
    </row>
    <row r="54" spans="1:10" s="211" customFormat="1" ht="38.25" x14ac:dyDescent="0.2">
      <c r="A54" s="2212"/>
      <c r="B54" s="2198"/>
      <c r="C54" s="930" t="str">
        <f>F!C122</f>
        <v>&lt;0.01 hectare (about 10 m on a side) and &lt;1% of the AA never has surface water.  In other words, all or nearly all of the AA is covered by water permanently or at least seasonally.</v>
      </c>
      <c r="D54" s="799">
        <f>F!D122</f>
        <v>0</v>
      </c>
      <c r="E54" s="1486">
        <v>4</v>
      </c>
      <c r="F54" s="722">
        <f>D54*E54</f>
        <v>0</v>
      </c>
      <c r="G54" s="721"/>
      <c r="H54" s="1911"/>
      <c r="I54" s="2040"/>
      <c r="J54" s="441"/>
    </row>
    <row r="55" spans="1:10" s="211" customFormat="1" ht="15" customHeight="1" x14ac:dyDescent="0.2">
      <c r="A55" s="2212"/>
      <c r="B55" s="2198"/>
      <c r="C55" s="930" t="str">
        <f>F!C123</f>
        <v>1-25% of the AA never contains surface water.</v>
      </c>
      <c r="D55" s="799">
        <f>F!D123</f>
        <v>0</v>
      </c>
      <c r="E55" s="1486">
        <v>5</v>
      </c>
      <c r="F55" s="722">
        <f>D55*E55</f>
        <v>0</v>
      </c>
      <c r="G55" s="721"/>
      <c r="H55" s="1911"/>
      <c r="I55" s="2040"/>
      <c r="J55" s="441"/>
    </row>
    <row r="56" spans="1:10" s="211" customFormat="1" ht="15" customHeight="1" x14ac:dyDescent="0.2">
      <c r="A56" s="2212"/>
      <c r="B56" s="2198"/>
      <c r="C56" s="930" t="str">
        <f>F!C124</f>
        <v>25-50% of the AA never contains surface water.</v>
      </c>
      <c r="D56" s="799">
        <f>F!D124</f>
        <v>0</v>
      </c>
      <c r="E56" s="1486">
        <v>3</v>
      </c>
      <c r="F56" s="722">
        <f>D56*E56</f>
        <v>0</v>
      </c>
      <c r="G56" s="721"/>
      <c r="H56" s="1911"/>
      <c r="I56" s="2040"/>
      <c r="J56" s="441"/>
    </row>
    <row r="57" spans="1:10" s="211" customFormat="1" ht="15" customHeight="1" x14ac:dyDescent="0.2">
      <c r="A57" s="2212"/>
      <c r="B57" s="2198"/>
      <c r="C57" s="930" t="str">
        <f>F!C125</f>
        <v>50-99% of the AA never contains surface water.</v>
      </c>
      <c r="D57" s="799">
        <f>F!D125</f>
        <v>0</v>
      </c>
      <c r="E57" s="1486">
        <v>2</v>
      </c>
      <c r="F57" s="722">
        <f>D57*E57</f>
        <v>0</v>
      </c>
      <c r="G57" s="721"/>
      <c r="H57" s="1911"/>
      <c r="I57" s="2040"/>
      <c r="J57" s="441"/>
    </row>
    <row r="58" spans="1:10" s="211" customFormat="1" ht="39" thickBot="1" x14ac:dyDescent="0.25">
      <c r="A58" s="2213"/>
      <c r="B58" s="2202"/>
      <c r="C58" s="931" t="str">
        <f>F!C126</f>
        <v>&gt;99% of the AA never contains surface water, except perhaps for water flowing in channels and/or in pools that occupy &lt;1% of the AA. SKIP to F48 (Channel Connection &amp; Outflow Duration).</v>
      </c>
      <c r="D58" s="194">
        <f>F!D126</f>
        <v>0</v>
      </c>
      <c r="E58" s="272">
        <v>1</v>
      </c>
      <c r="F58" s="244">
        <f>D58*E58</f>
        <v>0</v>
      </c>
      <c r="G58" s="258"/>
      <c r="H58" s="1978"/>
      <c r="I58" s="2041"/>
      <c r="J58" s="441"/>
    </row>
    <row r="59" spans="1:10" s="1" customFormat="1" ht="30" customHeight="1" thickBot="1" x14ac:dyDescent="0.25">
      <c r="A59" s="2203" t="str">
        <f>F!A127</f>
        <v>F23</v>
      </c>
      <c r="B59" s="2197" t="str">
        <f>F!B127</f>
        <v>% with Persistent Surface Water</v>
      </c>
      <c r="C59" s="508" t="str">
        <f>F!C127</f>
        <v>The percentage of the AA that has surface water (either ponded or flowing, either open or obscured by vegetation) during all of the growing season during most years is:</v>
      </c>
      <c r="D59" s="777"/>
      <c r="E59" s="376"/>
      <c r="F59" s="262"/>
      <c r="G59" s="225">
        <f>IF((AllSat1&gt;0),"", MAX(F60:F65)/MAX(E60:E65))</f>
        <v>0</v>
      </c>
      <c r="H59" s="2000" t="s">
        <v>129</v>
      </c>
      <c r="I59" s="2011" t="s">
        <v>1185</v>
      </c>
      <c r="J59" s="574"/>
    </row>
    <row r="60" spans="1:10" ht="15" customHeight="1" x14ac:dyDescent="0.2">
      <c r="A60" s="2204"/>
      <c r="B60" s="2198"/>
      <c r="C60" s="513" t="str">
        <f>F!C128</f>
        <v>&lt;0.01 hectare and &lt;1% of the AA.  SKIP to F27 (% Flooded Only Seasonally).</v>
      </c>
      <c r="D60" s="383">
        <f>F!D128</f>
        <v>0</v>
      </c>
      <c r="E60" s="722">
        <v>1</v>
      </c>
      <c r="F60" s="722">
        <f t="shared" ref="F60:F65" si="2">D60*E60</f>
        <v>0</v>
      </c>
      <c r="G60" s="235"/>
      <c r="H60" s="1989"/>
      <c r="I60" s="2040"/>
    </row>
    <row r="61" spans="1:10" ht="15" customHeight="1" x14ac:dyDescent="0.2">
      <c r="A61" s="2204"/>
      <c r="B61" s="2198"/>
      <c r="C61" s="802" t="str">
        <f>F!C129</f>
        <v>1-5% of the AA.</v>
      </c>
      <c r="D61" s="383">
        <f>F!D129</f>
        <v>0</v>
      </c>
      <c r="E61" s="722">
        <v>2</v>
      </c>
      <c r="F61" s="722">
        <f t="shared" si="2"/>
        <v>0</v>
      </c>
      <c r="G61" s="760"/>
      <c r="H61" s="1989"/>
      <c r="I61" s="2040"/>
    </row>
    <row r="62" spans="1:10" ht="15" customHeight="1" x14ac:dyDescent="0.2">
      <c r="A62" s="2204"/>
      <c r="B62" s="2198"/>
      <c r="C62" s="802" t="str">
        <f>F!C130</f>
        <v>5-25% of the AA.</v>
      </c>
      <c r="D62" s="383">
        <f>F!D130</f>
        <v>0</v>
      </c>
      <c r="E62" s="722">
        <v>3</v>
      </c>
      <c r="F62" s="722">
        <f t="shared" si="2"/>
        <v>0</v>
      </c>
      <c r="G62" s="760"/>
      <c r="H62" s="1989"/>
      <c r="I62" s="2040"/>
    </row>
    <row r="63" spans="1:10" ht="15" customHeight="1" x14ac:dyDescent="0.2">
      <c r="A63" s="2204"/>
      <c r="B63" s="2198"/>
      <c r="C63" s="802" t="str">
        <f>F!C131</f>
        <v>25-50% of the AA.</v>
      </c>
      <c r="D63" s="383">
        <f>F!D131</f>
        <v>0</v>
      </c>
      <c r="E63" s="722">
        <v>4</v>
      </c>
      <c r="F63" s="722">
        <f t="shared" si="2"/>
        <v>0</v>
      </c>
      <c r="G63" s="760"/>
      <c r="H63" s="1989"/>
      <c r="I63" s="2040"/>
    </row>
    <row r="64" spans="1:10" ht="15" customHeight="1" x14ac:dyDescent="0.2">
      <c r="A64" s="2204"/>
      <c r="B64" s="2198"/>
      <c r="C64" s="802" t="str">
        <f>F!C132</f>
        <v>50-95% of the AA.</v>
      </c>
      <c r="D64" s="803">
        <f>F!D132</f>
        <v>0</v>
      </c>
      <c r="E64" s="722">
        <v>6</v>
      </c>
      <c r="F64" s="722">
        <f t="shared" si="2"/>
        <v>0</v>
      </c>
      <c r="G64" s="760"/>
      <c r="H64" s="1989"/>
      <c r="I64" s="2040"/>
    </row>
    <row r="65" spans="1:71" ht="15" customHeight="1" thickBot="1" x14ac:dyDescent="0.25">
      <c r="A65" s="2205"/>
      <c r="B65" s="2202"/>
      <c r="C65" s="804" t="str">
        <f>F!C133</f>
        <v>&gt;95% of the AA.</v>
      </c>
      <c r="D65" s="191">
        <f>F!D133</f>
        <v>0</v>
      </c>
      <c r="E65" s="244">
        <v>5</v>
      </c>
      <c r="F65" s="244">
        <f t="shared" si="2"/>
        <v>0</v>
      </c>
      <c r="G65" s="237"/>
      <c r="H65" s="1990"/>
      <c r="I65" s="2041"/>
    </row>
    <row r="66" spans="1:71" s="1673" customFormat="1" ht="75" customHeight="1" thickBot="1" x14ac:dyDescent="0.25">
      <c r="A66" s="543" t="str">
        <f>F!A141</f>
        <v>F26</v>
      </c>
      <c r="B66" s="1671" t="str">
        <f>F!B141</f>
        <v>Lacustrine Wetland</v>
      </c>
      <c r="C66" s="921" t="str">
        <f>F!C141</f>
        <v>The AA borders a body of ponded open water whose size -- not counting the vegetated AA -- exceeds 8 hectares (about 300 x 300 m) during most of the growing season.  Enter "1" if true, "0" if false.</v>
      </c>
      <c r="D66" s="1672">
        <f>F!D141</f>
        <v>0</v>
      </c>
      <c r="E66" s="278"/>
      <c r="F66" s="270"/>
      <c r="G66" s="225" t="str">
        <f>IF((AllSat1&gt;0),"",IF((OpenW=0),"",IF((NoPonded=1),"",1)))</f>
        <v/>
      </c>
      <c r="H66" s="43" t="s">
        <v>808</v>
      </c>
      <c r="I66" s="352" t="s">
        <v>1186</v>
      </c>
      <c r="J66" s="44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row>
    <row r="67" spans="1:71" ht="30" customHeight="1" thickBot="1" x14ac:dyDescent="0.25">
      <c r="A67" s="2039" t="str">
        <f>F!A142</f>
        <v>F27</v>
      </c>
      <c r="B67" s="2081" t="str">
        <f>F!B142</f>
        <v>% Flooded Only Seasonally</v>
      </c>
      <c r="C67" s="526" t="str">
        <f>F!C142</f>
        <v>The percentage of the AA that is covered by unfrozen surface water only during the wettest time of the year is:</v>
      </c>
      <c r="D67" s="437"/>
      <c r="E67" s="239"/>
      <c r="F67" s="259"/>
      <c r="G67" s="231">
        <f>IF((AllSat1&gt;0),"",MAX(F68:F72)/MAX(E68:E72))</f>
        <v>0</v>
      </c>
      <c r="H67" s="2158" t="s">
        <v>809</v>
      </c>
      <c r="I67" s="2040" t="s">
        <v>280</v>
      </c>
    </row>
    <row r="68" spans="1:71" ht="15" customHeight="1" x14ac:dyDescent="0.2">
      <c r="A68" s="2039"/>
      <c r="B68" s="2081"/>
      <c r="C68" s="514" t="str">
        <f>F!C143</f>
        <v xml:space="preserve">None, or &lt;0.01 hectare and &lt;1% of the AA. </v>
      </c>
      <c r="D68" s="92">
        <f>F!D143</f>
        <v>0</v>
      </c>
      <c r="E68" s="241">
        <v>4</v>
      </c>
      <c r="F68" s="241">
        <f>D68*E68</f>
        <v>0</v>
      </c>
      <c r="G68" s="235"/>
      <c r="H68" s="2159"/>
      <c r="I68" s="2040"/>
    </row>
    <row r="69" spans="1:71" ht="15" customHeight="1" x14ac:dyDescent="0.2">
      <c r="A69" s="2039"/>
      <c r="B69" s="2081"/>
      <c r="C69" s="515" t="str">
        <f>F!C144</f>
        <v xml:space="preserve">1-25% </v>
      </c>
      <c r="D69" s="193">
        <f>F!D144</f>
        <v>0</v>
      </c>
      <c r="E69" s="241">
        <v>5</v>
      </c>
      <c r="F69" s="241">
        <f>D69*E69</f>
        <v>0</v>
      </c>
      <c r="G69" s="236"/>
      <c r="H69" s="2159"/>
      <c r="I69" s="2040"/>
    </row>
    <row r="70" spans="1:71" ht="15" customHeight="1" x14ac:dyDescent="0.2">
      <c r="A70" s="2039"/>
      <c r="B70" s="2081"/>
      <c r="C70" s="515" t="str">
        <f>F!C145</f>
        <v xml:space="preserve">25-50% </v>
      </c>
      <c r="D70" s="92">
        <f>F!D145</f>
        <v>0</v>
      </c>
      <c r="E70" s="241">
        <v>3</v>
      </c>
      <c r="F70" s="241">
        <f>D70*E70</f>
        <v>0</v>
      </c>
      <c r="G70" s="236"/>
      <c r="H70" s="2159"/>
      <c r="I70" s="2040"/>
    </row>
    <row r="71" spans="1:71" ht="15" customHeight="1" x14ac:dyDescent="0.2">
      <c r="A71" s="2039"/>
      <c r="B71" s="2081"/>
      <c r="C71" s="515" t="str">
        <f>F!C146</f>
        <v xml:space="preserve">50-95% </v>
      </c>
      <c r="D71" s="92">
        <f>F!D146</f>
        <v>0</v>
      </c>
      <c r="E71" s="241">
        <v>2</v>
      </c>
      <c r="F71" s="241">
        <f>D71*E71</f>
        <v>0</v>
      </c>
      <c r="G71" s="236"/>
      <c r="H71" s="2159"/>
      <c r="I71" s="2040"/>
    </row>
    <row r="72" spans="1:71" ht="15" customHeight="1" thickBot="1" x14ac:dyDescent="0.25">
      <c r="A72" s="2039"/>
      <c r="B72" s="2081"/>
      <c r="C72" s="527" t="str">
        <f>F!C147</f>
        <v xml:space="preserve">&gt;95% </v>
      </c>
      <c r="D72" s="434">
        <f>F!D147</f>
        <v>0</v>
      </c>
      <c r="E72" s="384">
        <v>1</v>
      </c>
      <c r="F72" s="380">
        <f>D72*E72</f>
        <v>0</v>
      </c>
      <c r="G72" s="367"/>
      <c r="H72" s="2160"/>
      <c r="I72" s="2040"/>
    </row>
    <row r="73" spans="1:71" ht="30" customHeight="1" thickBot="1" x14ac:dyDescent="0.25">
      <c r="A73" s="2214" t="str">
        <f>F!A148</f>
        <v>F28</v>
      </c>
      <c r="B73" s="2209" t="str">
        <f>F!B148</f>
        <v>Annual Water Fluctuation Range</v>
      </c>
      <c r="C73" s="519" t="str">
        <f>F!C148</f>
        <v>The annual fluctuation in surface water level within most of the parts of the AA that contain surface water is:</v>
      </c>
      <c r="D73" s="372"/>
      <c r="E73" s="376"/>
      <c r="F73" s="234"/>
      <c r="G73" s="225">
        <f>IF((AllSat1&gt;0),"", IF((NoSeasonal=1),"",MAX(F74:F78)/MAX(E74:E78)))</f>
        <v>0</v>
      </c>
      <c r="H73" s="2158" t="s">
        <v>128</v>
      </c>
      <c r="I73" s="2011" t="s">
        <v>1332</v>
      </c>
    </row>
    <row r="74" spans="1:71" x14ac:dyDescent="0.2">
      <c r="A74" s="2104"/>
      <c r="B74" s="2028"/>
      <c r="C74" s="516" t="str">
        <f>F!C149</f>
        <v xml:space="preserve">&lt;10 cm change (stable or nearly so) </v>
      </c>
      <c r="D74" s="431">
        <f>F!D149</f>
        <v>0</v>
      </c>
      <c r="E74" s="377">
        <v>1</v>
      </c>
      <c r="F74" s="377">
        <f>D74*E74</f>
        <v>0</v>
      </c>
      <c r="G74" s="235"/>
      <c r="H74" s="2159"/>
      <c r="I74" s="2040"/>
    </row>
    <row r="75" spans="1:71" x14ac:dyDescent="0.2">
      <c r="A75" s="2104"/>
      <c r="B75" s="2028"/>
      <c r="C75" s="517" t="str">
        <f>F!C150</f>
        <v>10 cm - 50 cm change</v>
      </c>
      <c r="D75" s="431">
        <f>F!D150</f>
        <v>0</v>
      </c>
      <c r="E75" s="377">
        <v>2</v>
      </c>
      <c r="F75" s="377">
        <f>D75*E75</f>
        <v>0</v>
      </c>
      <c r="G75" s="236"/>
      <c r="H75" s="2159"/>
      <c r="I75" s="2040"/>
    </row>
    <row r="76" spans="1:71" x14ac:dyDescent="0.2">
      <c r="A76" s="2104"/>
      <c r="B76" s="2028"/>
      <c r="C76" s="517" t="str">
        <f>F!C151</f>
        <v>0.5 - 1 m change</v>
      </c>
      <c r="D76" s="431">
        <f>F!D151</f>
        <v>0</v>
      </c>
      <c r="E76" s="722">
        <v>2</v>
      </c>
      <c r="F76" s="722">
        <f>D76*E76</f>
        <v>0</v>
      </c>
      <c r="G76" s="760"/>
      <c r="H76" s="2159"/>
      <c r="I76" s="2040"/>
    </row>
    <row r="77" spans="1:71" x14ac:dyDescent="0.2">
      <c r="A77" s="2104"/>
      <c r="B77" s="2028"/>
      <c r="C77" s="517" t="str">
        <f>F!C152</f>
        <v>1-2 m change</v>
      </c>
      <c r="D77" s="528">
        <f>F!D152</f>
        <v>0</v>
      </c>
      <c r="E77" s="377">
        <v>1</v>
      </c>
      <c r="F77" s="377">
        <f>D77*E77</f>
        <v>0</v>
      </c>
      <c r="G77" s="236"/>
      <c r="H77" s="2159"/>
      <c r="I77" s="2040"/>
    </row>
    <row r="78" spans="1:71" ht="28.5" customHeight="1" thickBot="1" x14ac:dyDescent="0.25">
      <c r="A78" s="2105"/>
      <c r="B78" s="2029"/>
      <c r="C78" s="520" t="str">
        <f>F!C153</f>
        <v>&gt;2 m change</v>
      </c>
      <c r="D78" s="102">
        <f>F!D153</f>
        <v>0</v>
      </c>
      <c r="E78" s="244">
        <v>0</v>
      </c>
      <c r="F78" s="244">
        <f>D78*E78</f>
        <v>0</v>
      </c>
      <c r="G78" s="237"/>
      <c r="H78" s="2160"/>
      <c r="I78" s="2041"/>
    </row>
    <row r="79" spans="1:71" ht="31.9" customHeight="1" thickBot="1" x14ac:dyDescent="0.25">
      <c r="A79" s="2215" t="str">
        <f>F!A161</f>
        <v>F30</v>
      </c>
      <c r="B79" s="2216" t="str">
        <f>F!B161</f>
        <v>Depth Classes - Evenness of Proportions</v>
      </c>
      <c r="C79" s="512" t="str">
        <f>F!C161</f>
        <v>Within the area described above, and during most of the time when surface water is present, it usually is comprised of: (select one):</v>
      </c>
      <c r="D79" s="437"/>
      <c r="E79" s="239"/>
      <c r="F79" s="259"/>
      <c r="G79" s="231">
        <f>IF((AllSat1&gt;0),"", IF((SmallAA=1),"", MAX(F80:F82)/MAX(E80:E82)))</f>
        <v>0</v>
      </c>
      <c r="H79" s="2158" t="s">
        <v>131</v>
      </c>
      <c r="I79" s="2040" t="s">
        <v>1115</v>
      </c>
    </row>
    <row r="80" spans="1:71" ht="25.5" x14ac:dyDescent="0.2">
      <c r="A80" s="2104"/>
      <c r="B80" s="2028"/>
      <c r="C80" s="516" t="str">
        <f>F!C162</f>
        <v>One depth class covering &gt;90% of the AA’s inundated area (use the classes in the question above).</v>
      </c>
      <c r="D80" s="92">
        <f>F!D162</f>
        <v>0</v>
      </c>
      <c r="E80" s="239">
        <v>0</v>
      </c>
      <c r="F80" s="239">
        <f>D80*E80</f>
        <v>0</v>
      </c>
      <c r="G80" s="235"/>
      <c r="H80" s="2159"/>
      <c r="I80" s="2040"/>
    </row>
    <row r="81" spans="1:9" ht="15" customHeight="1" x14ac:dyDescent="0.2">
      <c r="A81" s="2104"/>
      <c r="B81" s="2028"/>
      <c r="C81" s="517" t="str">
        <f>F!C163</f>
        <v>One depth class covering 51-90% of the AA's inundated area.</v>
      </c>
      <c r="D81" s="92">
        <f>F!D163</f>
        <v>0</v>
      </c>
      <c r="E81" s="241">
        <v>1</v>
      </c>
      <c r="F81" s="241">
        <f>D81*E81</f>
        <v>0</v>
      </c>
      <c r="G81" s="236"/>
      <c r="H81" s="2159"/>
      <c r="I81" s="2040"/>
    </row>
    <row r="82" spans="1:9" ht="15" customHeight="1" thickBot="1" x14ac:dyDescent="0.25">
      <c r="A82" s="2104"/>
      <c r="B82" s="2028"/>
      <c r="C82" s="518" t="str">
        <f>F!C164</f>
        <v>Multiple depth classes and none occupy more than 50% of the AA.</v>
      </c>
      <c r="D82" s="529">
        <f>F!D164</f>
        <v>0</v>
      </c>
      <c r="E82" s="380">
        <v>2</v>
      </c>
      <c r="F82" s="380">
        <f>D82*E82</f>
        <v>0</v>
      </c>
      <c r="G82" s="367"/>
      <c r="H82" s="2160"/>
      <c r="I82" s="2040"/>
    </row>
    <row r="83" spans="1:9" ht="45" customHeight="1" thickBot="1" x14ac:dyDescent="0.25">
      <c r="A83" s="2203" t="str">
        <f>F!A165</f>
        <v>F31</v>
      </c>
      <c r="B83" s="2197" t="str">
        <f>F!B165</f>
        <v xml:space="preserve">% of Water Ponded vs. Flowing </v>
      </c>
      <c r="C83" s="519" t="str">
        <f>F!C165</f>
        <v>The percentage of the AA's surface water that is ponded (stagnant, or flows so slowly that fine sediment is not held in suspension) during most of the time it is present during the growing season, and which is either open or shaded by emergent vegetation, is:</v>
      </c>
      <c r="D83" s="777"/>
      <c r="E83" s="376"/>
      <c r="F83" s="262"/>
      <c r="G83" s="225">
        <f>IF((AllSat1&gt;0),"", IF((SmallAA=1),"", MAX(F84:F89)/MAX(E84:E89)))</f>
        <v>0</v>
      </c>
      <c r="H83" s="2158" t="s">
        <v>130</v>
      </c>
      <c r="I83" s="2011" t="s">
        <v>1187</v>
      </c>
    </row>
    <row r="84" spans="1:9" ht="27" customHeight="1" x14ac:dyDescent="0.2">
      <c r="A84" s="2204"/>
      <c r="B84" s="2198"/>
      <c r="C84" s="805" t="str">
        <f>F!C166</f>
        <v>None, or &lt;0.01 hectare and &lt;1% of the AA. Nearly all water is flowing.  Enter "1" and SKIP to F43 (pH measurement).</v>
      </c>
      <c r="D84" s="778">
        <f>F!D166</f>
        <v>0</v>
      </c>
      <c r="E84" s="722">
        <v>0</v>
      </c>
      <c r="F84" s="722">
        <f t="shared" ref="F84:F89" si="3">D84*E84</f>
        <v>0</v>
      </c>
      <c r="G84" s="760"/>
      <c r="H84" s="2159"/>
      <c r="I84" s="2040"/>
    </row>
    <row r="85" spans="1:9" ht="15" customHeight="1" x14ac:dyDescent="0.2">
      <c r="A85" s="2204"/>
      <c r="B85" s="2198"/>
      <c r="C85" s="806" t="str">
        <f>F!C167</f>
        <v>1-5% of the water.  The rest is flowing.</v>
      </c>
      <c r="D85" s="778">
        <f>F!D167</f>
        <v>0</v>
      </c>
      <c r="E85" s="722">
        <v>1</v>
      </c>
      <c r="F85" s="722">
        <f t="shared" si="3"/>
        <v>0</v>
      </c>
      <c r="G85" s="760"/>
      <c r="H85" s="2159"/>
      <c r="I85" s="2040"/>
    </row>
    <row r="86" spans="1:9" ht="15" customHeight="1" x14ac:dyDescent="0.2">
      <c r="A86" s="2204"/>
      <c r="B86" s="2198"/>
      <c r="C86" s="806" t="str">
        <f>F!C168</f>
        <v>5-30% of the water.</v>
      </c>
      <c r="D86" s="778">
        <f>F!D168</f>
        <v>0</v>
      </c>
      <c r="E86" s="722">
        <v>2</v>
      </c>
      <c r="F86" s="722">
        <f t="shared" si="3"/>
        <v>0</v>
      </c>
      <c r="G86" s="760"/>
      <c r="H86" s="2159"/>
      <c r="I86" s="2040"/>
    </row>
    <row r="87" spans="1:9" ht="15" customHeight="1" x14ac:dyDescent="0.2">
      <c r="A87" s="2204"/>
      <c r="B87" s="2198"/>
      <c r="C87" s="806" t="str">
        <f>F!C169</f>
        <v>30-70% of the water.</v>
      </c>
      <c r="D87" s="778">
        <f>F!D169</f>
        <v>0</v>
      </c>
      <c r="E87" s="722">
        <v>3</v>
      </c>
      <c r="F87" s="722">
        <f t="shared" si="3"/>
        <v>0</v>
      </c>
      <c r="G87" s="760"/>
      <c r="H87" s="2159"/>
      <c r="I87" s="2040"/>
    </row>
    <row r="88" spans="1:9" ht="15" customHeight="1" x14ac:dyDescent="0.2">
      <c r="A88" s="2204"/>
      <c r="B88" s="2198"/>
      <c r="C88" s="806" t="str">
        <f>F!C170</f>
        <v>70-99% of the water.</v>
      </c>
      <c r="D88" s="778">
        <f>F!D170</f>
        <v>0</v>
      </c>
      <c r="E88" s="722">
        <v>4</v>
      </c>
      <c r="F88" s="722">
        <f t="shared" si="3"/>
        <v>0</v>
      </c>
      <c r="G88" s="744"/>
      <c r="H88" s="2159"/>
      <c r="I88" s="2040"/>
    </row>
    <row r="89" spans="1:9" ht="15" customHeight="1" thickBot="1" x14ac:dyDescent="0.25">
      <c r="A89" s="2205"/>
      <c r="B89" s="2202"/>
      <c r="C89" s="520" t="str">
        <f>F!C171</f>
        <v>&gt;99% of the water.  Little or no visibly flowing water within the AA.</v>
      </c>
      <c r="D89" s="102">
        <f>F!D171</f>
        <v>0</v>
      </c>
      <c r="E89" s="244">
        <v>5</v>
      </c>
      <c r="F89" s="244">
        <f t="shared" si="3"/>
        <v>0</v>
      </c>
      <c r="G89" s="237"/>
      <c r="H89" s="2160"/>
      <c r="I89" s="2041"/>
    </row>
    <row r="90" spans="1:9" ht="39" thickBot="1" x14ac:dyDescent="0.25">
      <c r="A90" s="2206" t="str">
        <f>F!A173</f>
        <v>F33</v>
      </c>
      <c r="B90" s="2198" t="str">
        <f>F!B173</f>
        <v xml:space="preserve">% of Ponded Water That Is Open </v>
      </c>
      <c r="C90" s="523" t="str">
        <f>F!C173</f>
        <v>In ducks-eye aerial view, the percentage of the ponded water that is open (lacking emergent vegetation during most of the growing season, and unhidden by a forest or shrub canopy) is:</v>
      </c>
      <c r="D90" s="1257"/>
      <c r="E90" s="736"/>
      <c r="F90" s="259"/>
      <c r="G90" s="231">
        <f>IF((AllSat1&gt;0),"", IF((NoPonded=1),"", IF((SmallAA=1),"", MAX(F91:F96)/MAX(E91:E96))))</f>
        <v>0</v>
      </c>
      <c r="H90" s="2159" t="s">
        <v>807</v>
      </c>
      <c r="I90" s="2040" t="s">
        <v>1188</v>
      </c>
    </row>
    <row r="91" spans="1:9" ht="27" customHeight="1" x14ac:dyDescent="0.2">
      <c r="A91" s="2206"/>
      <c r="B91" s="2198"/>
      <c r="C91" s="509" t="str">
        <f>F!C174</f>
        <v>None, or &lt;1% of the AA and largest pool occupies &lt;0.01 hectares.  Enter "1" and SKIP to F41 (Floating Algae &amp; Duckweed).</v>
      </c>
      <c r="D91" s="1674">
        <f>F!D174</f>
        <v>0</v>
      </c>
      <c r="E91" s="241">
        <v>1</v>
      </c>
      <c r="F91" s="241">
        <f t="shared" ref="F91:F96" si="4">D91*E91</f>
        <v>0</v>
      </c>
      <c r="G91" s="235"/>
      <c r="H91" s="2159"/>
      <c r="I91" s="2040"/>
    </row>
    <row r="92" spans="1:9" ht="15" customHeight="1" x14ac:dyDescent="0.2">
      <c r="A92" s="2206"/>
      <c r="B92" s="2198"/>
      <c r="C92" s="510" t="str">
        <f>F!C175</f>
        <v>1-5% of the ponded water.  Enter "1" and SKIP to F41.</v>
      </c>
      <c r="D92" s="1674">
        <f>F!D175</f>
        <v>0</v>
      </c>
      <c r="E92" s="241">
        <v>2</v>
      </c>
      <c r="F92" s="241">
        <f t="shared" si="4"/>
        <v>0</v>
      </c>
      <c r="G92" s="236"/>
      <c r="H92" s="2159"/>
      <c r="I92" s="2040"/>
    </row>
    <row r="93" spans="1:9" ht="15" customHeight="1" x14ac:dyDescent="0.2">
      <c r="A93" s="2206"/>
      <c r="B93" s="2198"/>
      <c r="C93" s="510" t="str">
        <f>F!C176</f>
        <v>5-30% of the ponded water.</v>
      </c>
      <c r="D93" s="1674">
        <f>F!D176</f>
        <v>0</v>
      </c>
      <c r="E93" s="241">
        <v>4</v>
      </c>
      <c r="F93" s="241">
        <f t="shared" si="4"/>
        <v>0</v>
      </c>
      <c r="G93" s="236"/>
      <c r="H93" s="2159"/>
      <c r="I93" s="2040"/>
    </row>
    <row r="94" spans="1:9" ht="15" customHeight="1" x14ac:dyDescent="0.2">
      <c r="A94" s="2206"/>
      <c r="B94" s="2198"/>
      <c r="C94" s="510" t="str">
        <f>F!C177</f>
        <v>30-70% of the ponded water.</v>
      </c>
      <c r="D94" s="195">
        <f>F!D177</f>
        <v>0</v>
      </c>
      <c r="E94" s="241">
        <v>6</v>
      </c>
      <c r="F94" s="241">
        <f t="shared" si="4"/>
        <v>0</v>
      </c>
      <c r="G94" s="236"/>
      <c r="H94" s="2159"/>
      <c r="I94" s="2040"/>
    </row>
    <row r="95" spans="1:9" ht="15" customHeight="1" x14ac:dyDescent="0.2">
      <c r="A95" s="2206"/>
      <c r="B95" s="2198"/>
      <c r="C95" s="510" t="str">
        <f>F!C178</f>
        <v>70-99% of the ponded water.</v>
      </c>
      <c r="D95" s="1674">
        <f>F!D178</f>
        <v>0</v>
      </c>
      <c r="E95" s="241">
        <v>4</v>
      </c>
      <c r="F95" s="241">
        <f t="shared" si="4"/>
        <v>0</v>
      </c>
      <c r="G95" s="236"/>
      <c r="H95" s="2159"/>
      <c r="I95" s="2040"/>
    </row>
    <row r="96" spans="1:9" ht="15" customHeight="1" thickBot="1" x14ac:dyDescent="0.25">
      <c r="A96" s="2206"/>
      <c r="B96" s="2198"/>
      <c r="C96" s="522" t="str">
        <f>F!C179</f>
        <v xml:space="preserve">100% of the ponded water. </v>
      </c>
      <c r="D96" s="247">
        <f>F!D179</f>
        <v>0</v>
      </c>
      <c r="E96" s="1257">
        <v>3</v>
      </c>
      <c r="F96" s="242">
        <f t="shared" si="4"/>
        <v>0</v>
      </c>
      <c r="G96" s="367"/>
      <c r="H96" s="2160"/>
      <c r="I96" s="2040"/>
    </row>
    <row r="97" spans="1:9" ht="39" thickBot="1" x14ac:dyDescent="0.25">
      <c r="A97" s="2203" t="str">
        <f>F!A180</f>
        <v>F34</v>
      </c>
      <c r="B97" s="2197" t="str">
        <f>F!B180</f>
        <v>Predominant Width of Vegetated Zone within Wetland</v>
      </c>
      <c r="C97" s="508" t="str">
        <f>F!C180</f>
        <v>At the time during the growing season when the AA's water level is lowest, the average width of vegetated area in the AA that separates adjoining uplands from open water within the AA is:</v>
      </c>
      <c r="D97" s="372"/>
      <c r="E97" s="376"/>
      <c r="F97" s="234"/>
      <c r="G97" s="225" t="str">
        <f>IF((AllSat1&gt;0),"",IF((OpenW=0),"", IF((SmallAA=1),"", MAX(F98:F103)/MAX(E98:E103))))</f>
        <v/>
      </c>
      <c r="H97" s="2158" t="s">
        <v>133</v>
      </c>
      <c r="I97" s="2011" t="s">
        <v>1189</v>
      </c>
    </row>
    <row r="98" spans="1:9" ht="15" customHeight="1" x14ac:dyDescent="0.2">
      <c r="A98" s="2204"/>
      <c r="B98" s="2198"/>
      <c r="C98" s="521" t="str">
        <f>F!C181</f>
        <v>&lt;1 m</v>
      </c>
      <c r="D98" s="383">
        <f>F!D181</f>
        <v>0</v>
      </c>
      <c r="E98" s="377">
        <v>0</v>
      </c>
      <c r="F98" s="377">
        <f t="shared" ref="F98:F103" si="5">D98*E98</f>
        <v>0</v>
      </c>
      <c r="G98" s="235"/>
      <c r="H98" s="2159"/>
      <c r="I98" s="2040"/>
    </row>
    <row r="99" spans="1:9" ht="15" customHeight="1" x14ac:dyDescent="0.2">
      <c r="A99" s="2204"/>
      <c r="B99" s="2198"/>
      <c r="C99" s="522" t="str">
        <f>F!C182</f>
        <v>1 - 9 m</v>
      </c>
      <c r="D99" s="383">
        <f>F!D182</f>
        <v>0</v>
      </c>
      <c r="E99" s="377">
        <v>1</v>
      </c>
      <c r="F99" s="377">
        <f t="shared" si="5"/>
        <v>0</v>
      </c>
      <c r="G99" s="236"/>
      <c r="H99" s="2159"/>
      <c r="I99" s="2040"/>
    </row>
    <row r="100" spans="1:9" ht="15" customHeight="1" x14ac:dyDescent="0.2">
      <c r="A100" s="2204"/>
      <c r="B100" s="2198"/>
      <c r="C100" s="522" t="str">
        <f>F!C183</f>
        <v>10 - 29 m</v>
      </c>
      <c r="D100" s="383">
        <f>F!D183</f>
        <v>0</v>
      </c>
      <c r="E100" s="377">
        <v>2</v>
      </c>
      <c r="F100" s="377">
        <f t="shared" si="5"/>
        <v>0</v>
      </c>
      <c r="G100" s="236"/>
      <c r="H100" s="2159"/>
      <c r="I100" s="2040"/>
    </row>
    <row r="101" spans="1:9" ht="15" customHeight="1" x14ac:dyDescent="0.2">
      <c r="A101" s="2204"/>
      <c r="B101" s="2198"/>
      <c r="C101" s="522" t="str">
        <f>F!C184</f>
        <v>30 - 49 m</v>
      </c>
      <c r="D101" s="383">
        <f>F!D184</f>
        <v>0</v>
      </c>
      <c r="E101" s="377">
        <v>3</v>
      </c>
      <c r="F101" s="377">
        <f t="shared" si="5"/>
        <v>0</v>
      </c>
      <c r="G101" s="236"/>
      <c r="H101" s="2159"/>
      <c r="I101" s="2040"/>
    </row>
    <row r="102" spans="1:9" ht="15" customHeight="1" x14ac:dyDescent="0.2">
      <c r="A102" s="2204"/>
      <c r="B102" s="2198"/>
      <c r="C102" s="522" t="str">
        <f>F!C185</f>
        <v>50 - 100 m</v>
      </c>
      <c r="D102" s="383">
        <f>F!D185</f>
        <v>0</v>
      </c>
      <c r="E102" s="380">
        <v>4</v>
      </c>
      <c r="F102" s="380">
        <f t="shared" si="5"/>
        <v>0</v>
      </c>
      <c r="G102" s="744"/>
      <c r="H102" s="2159"/>
      <c r="I102" s="2040"/>
    </row>
    <row r="103" spans="1:9" ht="15" customHeight="1" thickBot="1" x14ac:dyDescent="0.25">
      <c r="A103" s="2205"/>
      <c r="B103" s="2202"/>
      <c r="C103" s="511" t="str">
        <f>F!C186</f>
        <v>&gt; 100 m</v>
      </c>
      <c r="D103" s="192">
        <f>F!D186</f>
        <v>0</v>
      </c>
      <c r="E103" s="244">
        <v>5</v>
      </c>
      <c r="F103" s="244">
        <f t="shared" si="5"/>
        <v>0</v>
      </c>
      <c r="G103" s="237"/>
      <c r="H103" s="2160"/>
      <c r="I103" s="2041"/>
    </row>
    <row r="104" spans="1:9" ht="39" thickBot="1" x14ac:dyDescent="0.25">
      <c r="A104" s="2203" t="str">
        <f>F!A187</f>
        <v>F35</v>
      </c>
      <c r="B104" s="2197" t="str">
        <f>F!B187</f>
        <v>Flat Shoreline Extent</v>
      </c>
      <c r="C104" s="508" t="str">
        <f>F!C187</f>
        <v>During most of the part of the growing season when water is present, the percentage of the AA's water edge length that is  nearly flat (a slope less than about 5% measured within 5 m landward) is:</v>
      </c>
      <c r="D104" s="372"/>
      <c r="E104" s="376"/>
      <c r="F104" s="262"/>
      <c r="G104" s="225" t="str">
        <f>IF((AllSat1&gt;0),"",IF((OpenW=0),"", IF((SmallAA=1),"", MAX(F105:F109)/MAX(E105:E109))))</f>
        <v/>
      </c>
      <c r="H104" s="2158" t="s">
        <v>141</v>
      </c>
      <c r="I104" s="2011" t="s">
        <v>908</v>
      </c>
    </row>
    <row r="105" spans="1:9" ht="15" customHeight="1" x14ac:dyDescent="0.2">
      <c r="A105" s="2204"/>
      <c r="B105" s="2198"/>
      <c r="C105" s="521" t="str">
        <f>F!C188</f>
        <v>&lt;1%</v>
      </c>
      <c r="D105" s="383">
        <f>F!D188</f>
        <v>0</v>
      </c>
      <c r="E105" s="377">
        <v>0</v>
      </c>
      <c r="F105" s="377">
        <f>D105*E105</f>
        <v>0</v>
      </c>
      <c r="G105" s="235"/>
      <c r="H105" s="2159"/>
      <c r="I105" s="2040"/>
    </row>
    <row r="106" spans="1:9" ht="15" customHeight="1" x14ac:dyDescent="0.2">
      <c r="A106" s="2204"/>
      <c r="B106" s="2198"/>
      <c r="C106" s="522" t="str">
        <f>F!C189</f>
        <v>1-25%</v>
      </c>
      <c r="D106" s="383">
        <f>F!D189</f>
        <v>0</v>
      </c>
      <c r="E106" s="377">
        <v>1</v>
      </c>
      <c r="F106" s="377">
        <f>D106*E106</f>
        <v>0</v>
      </c>
      <c r="G106" s="236"/>
      <c r="H106" s="2159"/>
      <c r="I106" s="2040"/>
    </row>
    <row r="107" spans="1:9" ht="15" customHeight="1" x14ac:dyDescent="0.2">
      <c r="A107" s="2204"/>
      <c r="B107" s="2198"/>
      <c r="C107" s="522" t="str">
        <f>F!C190</f>
        <v>25-50%</v>
      </c>
      <c r="D107" s="383">
        <f>F!D190</f>
        <v>0</v>
      </c>
      <c r="E107" s="377">
        <v>2</v>
      </c>
      <c r="F107" s="377">
        <f>D107*E107</f>
        <v>0</v>
      </c>
      <c r="G107" s="236"/>
      <c r="H107" s="2159"/>
      <c r="I107" s="2040"/>
    </row>
    <row r="108" spans="1:9" ht="15" customHeight="1" x14ac:dyDescent="0.2">
      <c r="A108" s="2204"/>
      <c r="B108" s="2198"/>
      <c r="C108" s="522" t="str">
        <f>F!C191</f>
        <v>50-75%</v>
      </c>
      <c r="D108" s="383">
        <f>F!D191</f>
        <v>0</v>
      </c>
      <c r="E108" s="377">
        <v>3</v>
      </c>
      <c r="F108" s="377">
        <f>D108*E108</f>
        <v>0</v>
      </c>
      <c r="G108" s="236"/>
      <c r="H108" s="2159"/>
      <c r="I108" s="2040"/>
    </row>
    <row r="109" spans="1:9" ht="15" customHeight="1" thickBot="1" x14ac:dyDescent="0.25">
      <c r="A109" s="2205"/>
      <c r="B109" s="2202"/>
      <c r="C109" s="511" t="str">
        <f>F!C192</f>
        <v>&gt;75%</v>
      </c>
      <c r="D109" s="192">
        <f>F!D192</f>
        <v>0</v>
      </c>
      <c r="E109" s="244">
        <v>4</v>
      </c>
      <c r="F109" s="244">
        <f>D109*E109</f>
        <v>0</v>
      </c>
      <c r="G109" s="237"/>
      <c r="H109" s="2160"/>
      <c r="I109" s="2041"/>
    </row>
    <row r="110" spans="1:9" ht="30" customHeight="1" thickBot="1" x14ac:dyDescent="0.25">
      <c r="A110" s="2203" t="str">
        <f>F!A199</f>
        <v>F37</v>
      </c>
      <c r="B110" s="2197" t="str">
        <f>F!B199</f>
        <v>Interspersion of Robust Emergents &amp; Open Water</v>
      </c>
      <c r="C110" s="508" t="str">
        <f>F!C199</f>
        <v>During most of the part of the growing season when water is present, the spatial pattern of robust herbaceous vegetation (e.g., cattail, tall bulrush, buckbean) is mostly:</v>
      </c>
      <c r="D110" s="1675"/>
      <c r="E110" s="376"/>
      <c r="F110" s="234"/>
      <c r="G110" s="232">
        <f>IF((AllSat1&gt;0),"",IF((NoPonded=1),"",IF((NoOpenPonded+NoOpenPonded1&gt;0),"",IF((AllOpenPond=1),"", IF((SmallAA=1),"", MAX(F111:F113)/MAX(E111:E113))))))</f>
        <v>0</v>
      </c>
      <c r="H110" s="2158" t="s">
        <v>132</v>
      </c>
      <c r="I110" s="2011" t="s">
        <v>1190</v>
      </c>
    </row>
    <row r="111" spans="1:9" ht="27" customHeight="1" x14ac:dyDescent="0.2">
      <c r="A111" s="2204"/>
      <c r="B111" s="2198"/>
      <c r="C111" s="919" t="str">
        <f>F!C200</f>
        <v>Scattered.  More than 30% of such vegetation forms small islands or corridors surrounded by water.</v>
      </c>
      <c r="D111" s="196">
        <f>F!D200</f>
        <v>0</v>
      </c>
      <c r="E111" s="722">
        <v>3</v>
      </c>
      <c r="F111" s="748">
        <f>D111*E111</f>
        <v>0</v>
      </c>
      <c r="G111" s="240"/>
      <c r="H111" s="2159"/>
      <c r="I111" s="2040"/>
    </row>
    <row r="112" spans="1:9" ht="15" customHeight="1" x14ac:dyDescent="0.2">
      <c r="A112" s="2204"/>
      <c r="B112" s="2198"/>
      <c r="C112" s="918" t="str">
        <f>F!C201</f>
        <v>Intermediate.</v>
      </c>
      <c r="D112" s="763">
        <f>F!D201</f>
        <v>0</v>
      </c>
      <c r="E112" s="722">
        <v>2</v>
      </c>
      <c r="F112" s="748">
        <f>D112*E112</f>
        <v>0</v>
      </c>
      <c r="G112" s="240"/>
      <c r="H112" s="2159"/>
      <c r="I112" s="2040"/>
    </row>
    <row r="113" spans="1:9" ht="27" customHeight="1" thickBot="1" x14ac:dyDescent="0.25">
      <c r="A113" s="2205"/>
      <c r="B113" s="2202"/>
      <c r="C113" s="511" t="str">
        <f>F!C202</f>
        <v>Clumped. More than 70% of such vegetation is in bands along the wetland perimeter or is clumped at one or a few sides of the surface water area.</v>
      </c>
      <c r="D113" s="191">
        <f>F!D202</f>
        <v>0</v>
      </c>
      <c r="E113" s="244">
        <v>1</v>
      </c>
      <c r="F113" s="205">
        <f>D113*E113</f>
        <v>0</v>
      </c>
      <c r="G113" s="1676"/>
      <c r="H113" s="2160"/>
      <c r="I113" s="2041"/>
    </row>
    <row r="114" spans="1:9" ht="60" customHeight="1" thickBot="1" x14ac:dyDescent="0.25">
      <c r="A114" s="1677" t="str">
        <f>F!A208</f>
        <v>F40</v>
      </c>
      <c r="B114" s="1678" t="str">
        <f>F!B208</f>
        <v>Isolated Island</v>
      </c>
      <c r="C114" s="1679" t="str">
        <f>F!C208</f>
        <v>The AA contains (or is part of) an island or beaver lodge within a lake, pond, or river, and is isolated from the shore by water depths &gt;2 m on all sides during an average June.  The island may be solid, or it may be a floating vegetation mat that is sufficiently large and dense to support a waterbird nest.</v>
      </c>
      <c r="D114" s="304">
        <f>F!D208</f>
        <v>0</v>
      </c>
      <c r="E114" s="1257"/>
      <c r="F114" s="279"/>
      <c r="G114" s="1680" t="str">
        <f>IF((D114=0),"", IF((SmallAA=1),"", D114))</f>
        <v/>
      </c>
      <c r="H114" s="1427" t="s">
        <v>499</v>
      </c>
      <c r="I114" s="1396" t="s">
        <v>1354</v>
      </c>
    </row>
    <row r="115" spans="1:9" ht="80.25" customHeight="1" thickBot="1" x14ac:dyDescent="0.25">
      <c r="A115" s="543" t="str">
        <f>F!A210</f>
        <v>F42</v>
      </c>
      <c r="B115" s="1681" t="str">
        <f>F!B210</f>
        <v>Fish</v>
      </c>
      <c r="C115" s="921" t="str">
        <f>F!C210</f>
        <v>Fish from connected waters can access at least part of the AA during one or more days annually, or are otherwise known to be present in the AA at least temporarily. If true, enter "1" in next column.  If untrue or unlikely, enter "0".</v>
      </c>
      <c r="D115" s="922">
        <f>F!D210</f>
        <v>0</v>
      </c>
      <c r="E115" s="1050"/>
      <c r="F115" s="798"/>
      <c r="G115" s="232" t="str">
        <f>IF((SmallAA=1),"", IF((D115=0),"", 1))</f>
        <v/>
      </c>
      <c r="H115" s="923" t="s">
        <v>502</v>
      </c>
      <c r="I115" s="352" t="s">
        <v>1191</v>
      </c>
    </row>
    <row r="116" spans="1:9" ht="21" customHeight="1" thickBot="1" x14ac:dyDescent="0.25">
      <c r="A116" s="2197" t="str">
        <f>F!A211</f>
        <v>F43</v>
      </c>
      <c r="B116" s="2197" t="str">
        <f>F!B211</f>
        <v>pH Measurement</v>
      </c>
      <c r="C116" s="1682" t="str">
        <f>F!C211</f>
        <v>The pH in most of the AA's surface water:</v>
      </c>
      <c r="D116" s="777"/>
      <c r="E116" s="376"/>
      <c r="F116" s="376"/>
      <c r="G116" s="1070">
        <f>IF((AllSat1&gt;0),"", IF((SmallAA=1),"", IF((D119=1), 0, IF((D120&lt;5),0,""))))</f>
        <v>0</v>
      </c>
      <c r="H116" s="2158" t="s">
        <v>142</v>
      </c>
      <c r="I116" s="1867" t="s">
        <v>2022</v>
      </c>
    </row>
    <row r="117" spans="1:9" ht="27" customHeight="1" x14ac:dyDescent="0.2">
      <c r="A117" s="2198"/>
      <c r="B117" s="2198"/>
      <c r="C117" s="1683" t="str">
        <f>F!C212</f>
        <v>was not measured because no surface water could be found during this visit. Enter "1" in column to the right.</v>
      </c>
      <c r="D117" s="763">
        <f>F!D212</f>
        <v>0</v>
      </c>
      <c r="E117" s="722"/>
      <c r="F117" s="722"/>
      <c r="G117" s="857"/>
      <c r="H117" s="2159"/>
      <c r="I117" s="1911"/>
    </row>
    <row r="118" spans="1:9" ht="15.75" customHeight="1" x14ac:dyDescent="0.2">
      <c r="A118" s="2198"/>
      <c r="B118" s="2198"/>
      <c r="C118" s="1684" t="str">
        <f>F!C213</f>
        <v>was not measured, and surface water is tea-colored. Enter "1" in column to the right.</v>
      </c>
      <c r="D118" s="763">
        <f>F!D213</f>
        <v>0</v>
      </c>
      <c r="E118" s="722"/>
      <c r="F118" s="722"/>
      <c r="G118" s="857"/>
      <c r="H118" s="2159"/>
      <c r="I118" s="1911"/>
    </row>
    <row r="119" spans="1:9" ht="18" customHeight="1" x14ac:dyDescent="0.2">
      <c r="A119" s="2198"/>
      <c r="B119" s="2198"/>
      <c r="C119" s="1684" t="str">
        <f>F!C214</f>
        <v>was not measured but surface water is NOT tea-colored. Enter "1" in column to the right.</v>
      </c>
      <c r="D119" s="763">
        <f>F!D214</f>
        <v>0</v>
      </c>
      <c r="E119" s="722"/>
      <c r="F119" s="722"/>
      <c r="G119" s="857"/>
      <c r="H119" s="2159"/>
      <c r="I119" s="1911"/>
    </row>
    <row r="120" spans="1:9" ht="15" customHeight="1" thickBot="1" x14ac:dyDescent="0.25">
      <c r="A120" s="2202"/>
      <c r="B120" s="2202"/>
      <c r="C120" s="1685" t="str">
        <f>F!C215</f>
        <v>was measured, and is:  [enter the reading in the column to the right]:</v>
      </c>
      <c r="D120" s="793">
        <f>F!D215</f>
        <v>0</v>
      </c>
      <c r="E120" s="1526"/>
      <c r="F120" s="787"/>
      <c r="G120" s="266"/>
      <c r="H120" s="2160"/>
      <c r="I120" s="1978"/>
    </row>
    <row r="121" spans="1:9" ht="21" customHeight="1" thickBot="1" x14ac:dyDescent="0.25">
      <c r="A121" s="2206" t="str">
        <f>F!A222</f>
        <v>F45</v>
      </c>
      <c r="B121" s="2198" t="str">
        <f>F!B222</f>
        <v>Beaver Probability</v>
      </c>
      <c r="C121" s="523" t="str">
        <f>F!C222</f>
        <v>Use of the AA by beaver during the past 5 years is (select most applicable ONE):</v>
      </c>
      <c r="D121" s="736"/>
      <c r="E121" s="239"/>
      <c r="F121" s="239"/>
      <c r="G121" s="231">
        <f>IF((AllSat1&gt;0),"",MAX(F122:F124)/MAX(E122:E124))</f>
        <v>0</v>
      </c>
      <c r="H121" s="2159" t="s">
        <v>143</v>
      </c>
      <c r="I121" s="2040" t="s">
        <v>1868</v>
      </c>
    </row>
    <row r="122" spans="1:9" ht="27" customHeight="1" x14ac:dyDescent="0.2">
      <c r="A122" s="2206"/>
      <c r="B122" s="2198"/>
      <c r="C122" s="509" t="str">
        <f>F!C223</f>
        <v>evident from direct observation or presence of gnawed limbs, dams, tracks, dens, lodges, or extensive stands of water-killed trees (snags).</v>
      </c>
      <c r="D122" s="196">
        <f>F!D223</f>
        <v>0</v>
      </c>
      <c r="E122" s="241">
        <v>3</v>
      </c>
      <c r="F122" s="241">
        <f>D122*E122</f>
        <v>0</v>
      </c>
      <c r="G122" s="236"/>
      <c r="H122" s="2159"/>
      <c r="I122" s="2040"/>
    </row>
    <row r="123" spans="1:9" ht="57" customHeight="1" x14ac:dyDescent="0.2">
      <c r="A123" s="2206"/>
      <c r="B123" s="2198"/>
      <c r="C123" s="510" t="str">
        <f>F!C224</f>
        <v>likely based on known occurrence in the region and proximity to suitable habitat, which may include: (a) a persistent freshwater wetland, pond, or lake, or a perennial low or mid-gradient (&lt;10%) channel, and (b) a corridor or multiple stands of hardwood trees and shrubs in vegetated areas near surface water.</v>
      </c>
      <c r="D123" s="1674">
        <f>F!D224</f>
        <v>0</v>
      </c>
      <c r="E123" s="241">
        <v>2</v>
      </c>
      <c r="F123" s="241">
        <f>D123*E123</f>
        <v>0</v>
      </c>
      <c r="G123" s="236"/>
      <c r="H123" s="2159"/>
      <c r="I123" s="2040"/>
    </row>
    <row r="124" spans="1:9" ht="39" thickBot="1" x14ac:dyDescent="0.25">
      <c r="A124" s="2206"/>
      <c r="B124" s="2198"/>
      <c r="C124" s="510" t="str">
        <f>F!C225</f>
        <v>unlikely because site characteristics above are deficient, and/or this is a settled area or other area where beaver are routinely removed.  But beaver occur in this part of the region (i.e., within 25 km).</v>
      </c>
      <c r="D124" s="1674">
        <f>F!D225</f>
        <v>0</v>
      </c>
      <c r="E124" s="241">
        <v>0</v>
      </c>
      <c r="F124" s="241">
        <f>D124*E124</f>
        <v>0</v>
      </c>
      <c r="G124" s="236"/>
      <c r="H124" s="2159"/>
      <c r="I124" s="2040"/>
    </row>
    <row r="125" spans="1:9" ht="21" customHeight="1" thickBot="1" x14ac:dyDescent="0.25">
      <c r="A125" s="2214" t="str">
        <f>F!A247</f>
        <v>F51</v>
      </c>
      <c r="B125" s="2209" t="str">
        <f>F!B247</f>
        <v>Internal Gradient</v>
      </c>
      <c r="C125" s="508" t="str">
        <f>F!C247</f>
        <v>The gradient along most of the flow path within the AA is:</v>
      </c>
      <c r="D125" s="372"/>
      <c r="E125" s="376"/>
      <c r="F125" s="234"/>
      <c r="G125" s="232">
        <f>MAX(F126:F129)/MAX(E126:E129)</f>
        <v>0</v>
      </c>
      <c r="H125" s="2158" t="s">
        <v>137</v>
      </c>
      <c r="I125" s="2194" t="s">
        <v>63</v>
      </c>
    </row>
    <row r="126" spans="1:9" ht="27" customHeight="1" x14ac:dyDescent="0.2">
      <c r="A126" s="2104"/>
      <c r="B126" s="2028"/>
      <c r="C126" s="509" t="str">
        <f>F!C248</f>
        <v>&lt;2%, or, no slope is ever apparent (i.e., flat). Or, the wetland is in a depression or pond with no inlet and no outlet.</v>
      </c>
      <c r="D126" s="196">
        <f>F!D248</f>
        <v>0</v>
      </c>
      <c r="E126" s="377">
        <v>3</v>
      </c>
      <c r="F126" s="377">
        <f>Steep13*E126</f>
        <v>0</v>
      </c>
      <c r="G126" s="235"/>
      <c r="H126" s="2159"/>
      <c r="I126" s="2195"/>
    </row>
    <row r="127" spans="1:9" ht="15" customHeight="1" x14ac:dyDescent="0.2">
      <c r="A127" s="2104"/>
      <c r="B127" s="2028"/>
      <c r="C127" s="510" t="str">
        <f>F!C249</f>
        <v>2-5%</v>
      </c>
      <c r="D127" s="382">
        <f>F!D249</f>
        <v>0</v>
      </c>
      <c r="E127" s="377">
        <v>2</v>
      </c>
      <c r="F127" s="377">
        <f>D127*E127</f>
        <v>0</v>
      </c>
      <c r="G127" s="236"/>
      <c r="H127" s="2159"/>
      <c r="I127" s="2195"/>
    </row>
    <row r="128" spans="1:9" ht="15" customHeight="1" x14ac:dyDescent="0.2">
      <c r="A128" s="2104"/>
      <c r="B128" s="2028"/>
      <c r="C128" s="510" t="str">
        <f>F!C250</f>
        <v>6-10%</v>
      </c>
      <c r="D128" s="383">
        <f>F!D250</f>
        <v>0</v>
      </c>
      <c r="E128" s="377">
        <v>1</v>
      </c>
      <c r="F128" s="377">
        <f>D128*E128</f>
        <v>0</v>
      </c>
      <c r="G128" s="236"/>
      <c r="H128" s="2159"/>
      <c r="I128" s="2195"/>
    </row>
    <row r="129" spans="1:10" ht="15" customHeight="1" thickBot="1" x14ac:dyDescent="0.25">
      <c r="A129" s="2105"/>
      <c r="B129" s="2029"/>
      <c r="C129" s="530" t="str">
        <f>F!C251</f>
        <v>&gt;10%</v>
      </c>
      <c r="D129" s="1686">
        <f>F!D251</f>
        <v>0</v>
      </c>
      <c r="E129" s="244">
        <v>0</v>
      </c>
      <c r="F129" s="244">
        <f>D129*E129</f>
        <v>0</v>
      </c>
      <c r="G129" s="237"/>
      <c r="H129" s="2160"/>
      <c r="I129" s="2196"/>
    </row>
    <row r="130" spans="1:10" s="212" customFormat="1" ht="30" customHeight="1" thickBot="1" x14ac:dyDescent="0.25">
      <c r="A130" s="2220" t="str">
        <f>F!A252</f>
        <v>F52</v>
      </c>
      <c r="B130" s="2221" t="str">
        <f>F!B252</f>
        <v>Percent of Buffer with Perennial Vegetation</v>
      </c>
      <c r="C130" s="519" t="str">
        <f>F!C252</f>
        <v>Extending 30 m on all sides from the AA's edge,  the percentage that contains water or perennial vegetation taller than 10 cm during most of the growing season is:</v>
      </c>
      <c r="D130" s="372"/>
      <c r="E130" s="376"/>
      <c r="F130" s="262"/>
      <c r="G130" s="225">
        <f>MAX(F131:F135)/MAX(E131:E135)</f>
        <v>0</v>
      </c>
      <c r="H130" s="1910" t="s">
        <v>140</v>
      </c>
      <c r="I130" s="2011" t="s">
        <v>1355</v>
      </c>
      <c r="J130" s="138"/>
    </row>
    <row r="131" spans="1:10" s="212" customFormat="1" ht="15" customHeight="1" x14ac:dyDescent="0.2">
      <c r="A131" s="2104"/>
      <c r="B131" s="2028"/>
      <c r="C131" s="1338" t="str">
        <f>F!C253</f>
        <v xml:space="preserve">&lt;5% </v>
      </c>
      <c r="D131" s="1335">
        <f>F!D253</f>
        <v>0</v>
      </c>
      <c r="E131" s="377">
        <v>0</v>
      </c>
      <c r="F131" s="377">
        <f>D131*E131</f>
        <v>0</v>
      </c>
      <c r="G131" s="235"/>
      <c r="H131" s="1881"/>
      <c r="I131" s="2040"/>
      <c r="J131" s="138"/>
    </row>
    <row r="132" spans="1:10" s="212" customFormat="1" ht="15" customHeight="1" x14ac:dyDescent="0.2">
      <c r="A132" s="2104"/>
      <c r="B132" s="2028"/>
      <c r="C132" s="1339" t="str">
        <f>F!C254</f>
        <v>5 to 30%</v>
      </c>
      <c r="D132" s="1336">
        <f>F!D254</f>
        <v>0</v>
      </c>
      <c r="E132" s="377">
        <v>2</v>
      </c>
      <c r="F132" s="377">
        <f>D132*E132</f>
        <v>0</v>
      </c>
      <c r="G132" s="236"/>
      <c r="H132" s="1881"/>
      <c r="I132" s="2040"/>
      <c r="J132" s="138"/>
    </row>
    <row r="133" spans="1:10" s="212" customFormat="1" ht="15" customHeight="1" x14ac:dyDescent="0.2">
      <c r="A133" s="2104"/>
      <c r="B133" s="2028"/>
      <c r="C133" s="1339" t="str">
        <f>F!C255</f>
        <v>30 to 60%</v>
      </c>
      <c r="D133" s="1336">
        <f>F!D255</f>
        <v>0</v>
      </c>
      <c r="E133" s="377">
        <v>3</v>
      </c>
      <c r="F133" s="377">
        <f>D133*E133</f>
        <v>0</v>
      </c>
      <c r="G133" s="236"/>
      <c r="H133" s="1881"/>
      <c r="I133" s="2040"/>
      <c r="J133" s="138"/>
    </row>
    <row r="134" spans="1:10" s="212" customFormat="1" ht="15" customHeight="1" x14ac:dyDescent="0.2">
      <c r="A134" s="2104"/>
      <c r="B134" s="2028"/>
      <c r="C134" s="1339" t="str">
        <f>F!C256</f>
        <v>60 to 90%</v>
      </c>
      <c r="D134" s="1336">
        <f>F!D256</f>
        <v>0</v>
      </c>
      <c r="E134" s="377">
        <v>4</v>
      </c>
      <c r="F134" s="377">
        <f>D134*E134</f>
        <v>0</v>
      </c>
      <c r="G134" s="236"/>
      <c r="H134" s="1881"/>
      <c r="I134" s="2040"/>
      <c r="J134" s="138"/>
    </row>
    <row r="135" spans="1:10" s="212" customFormat="1" ht="15" customHeight="1" thickBot="1" x14ac:dyDescent="0.25">
      <c r="A135" s="2105"/>
      <c r="B135" s="2029"/>
      <c r="C135" s="1340" t="str">
        <f>F!C257</f>
        <v>&gt;90%, or the AA does not adjoin any upland  SKIP to F54 (Cliffs).</v>
      </c>
      <c r="D135" s="1337">
        <f>F!D257</f>
        <v>0</v>
      </c>
      <c r="E135" s="244">
        <v>6</v>
      </c>
      <c r="F135" s="244">
        <f>D135*E135</f>
        <v>0</v>
      </c>
      <c r="G135" s="237"/>
      <c r="H135" s="1882"/>
      <c r="I135" s="2041"/>
      <c r="J135" s="138"/>
    </row>
    <row r="136" spans="1:10" ht="77.25" thickBot="1" x14ac:dyDescent="0.25">
      <c r="A136" s="2215" t="str">
        <f>F!A288</f>
        <v>F60</v>
      </c>
      <c r="B136" s="2216" t="str">
        <f>F!B288</f>
        <v xml:space="preserve">Unvisited Core Area </v>
      </c>
      <c r="C136" s="512" t="str">
        <f>F!C288</f>
        <v>The percentage of the AA almost never visited by humans during an average growing season probably comprises: [Note: Only include the part actually walked or driven (not simply viewed from) with a vehicle or boat. Do not include visitors on trails outside of the AA unless more than half the wetland is visible from the trails and they are within 30 m of the wetland edge. In that case include only the area occupied by the trail]</v>
      </c>
      <c r="D136" s="396"/>
      <c r="E136" s="206"/>
      <c r="F136" s="240"/>
      <c r="G136" s="231">
        <f>MAX(F137:F142)/MAX(E137:E142)</f>
        <v>0</v>
      </c>
      <c r="H136" s="2158" t="s">
        <v>138</v>
      </c>
      <c r="I136" s="2040" t="s">
        <v>1869</v>
      </c>
    </row>
    <row r="137" spans="1:10" ht="15" customHeight="1" x14ac:dyDescent="0.2">
      <c r="A137" s="2215"/>
      <c r="B137" s="2216"/>
      <c r="C137" s="516" t="str">
        <f>F!C289</f>
        <v>&lt;5% and no inhabited building is within 100 m of the AA.</v>
      </c>
      <c r="D137" s="92">
        <f>F!D289</f>
        <v>0</v>
      </c>
      <c r="E137" s="204">
        <v>1</v>
      </c>
      <c r="F137" s="241">
        <f t="shared" ref="F137:F142" si="6">D137*E137</f>
        <v>0</v>
      </c>
      <c r="G137" s="235"/>
      <c r="H137" s="2159"/>
      <c r="I137" s="2040"/>
    </row>
    <row r="138" spans="1:10" ht="15" customHeight="1" x14ac:dyDescent="0.2">
      <c r="A138" s="2215"/>
      <c r="B138" s="2216"/>
      <c r="C138" s="517" t="str">
        <f>F!C290</f>
        <v>&lt;5% and inhabited building is within 100 m of the AA.</v>
      </c>
      <c r="D138" s="92">
        <f>F!D290</f>
        <v>0</v>
      </c>
      <c r="E138" s="204">
        <v>0</v>
      </c>
      <c r="F138" s="241">
        <f t="shared" si="6"/>
        <v>0</v>
      </c>
      <c r="G138" s="236"/>
      <c r="H138" s="2159"/>
      <c r="I138" s="2040"/>
    </row>
    <row r="139" spans="1:10" ht="15" customHeight="1" x14ac:dyDescent="0.2">
      <c r="A139" s="2215"/>
      <c r="B139" s="2216"/>
      <c r="C139" s="517" t="str">
        <f>F!C291</f>
        <v>5-50% and no inhabited building is within 100 m of the AA.</v>
      </c>
      <c r="D139" s="92">
        <f>F!D291</f>
        <v>0</v>
      </c>
      <c r="E139" s="204">
        <v>3</v>
      </c>
      <c r="F139" s="241">
        <f t="shared" si="6"/>
        <v>0</v>
      </c>
      <c r="G139" s="236"/>
      <c r="H139" s="2159"/>
      <c r="I139" s="2040"/>
    </row>
    <row r="140" spans="1:10" ht="15" customHeight="1" x14ac:dyDescent="0.2">
      <c r="A140" s="2215"/>
      <c r="B140" s="2216"/>
      <c r="C140" s="517" t="str">
        <f>F!C292</f>
        <v>5-50% and inhabited building is within 100 m of the AA.</v>
      </c>
      <c r="D140" s="92">
        <f>F!D292</f>
        <v>0</v>
      </c>
      <c r="E140" s="204">
        <v>2</v>
      </c>
      <c r="F140" s="241">
        <f t="shared" si="6"/>
        <v>0</v>
      </c>
      <c r="G140" s="367"/>
      <c r="H140" s="2159"/>
      <c r="I140" s="2040"/>
    </row>
    <row r="141" spans="1:10" ht="15" customHeight="1" x14ac:dyDescent="0.2">
      <c r="A141" s="2215"/>
      <c r="B141" s="2216"/>
      <c r="C141" s="517" t="str">
        <f>F!C293</f>
        <v>50-95%, with or without inhabited building nearby.</v>
      </c>
      <c r="D141" s="92">
        <f>F!D293</f>
        <v>0</v>
      </c>
      <c r="E141" s="204">
        <v>4</v>
      </c>
      <c r="F141" s="241">
        <f t="shared" si="6"/>
        <v>0</v>
      </c>
      <c r="G141" s="367"/>
      <c r="H141" s="2159"/>
      <c r="I141" s="2040"/>
    </row>
    <row r="142" spans="1:10" ht="15" customHeight="1" thickBot="1" x14ac:dyDescent="0.25">
      <c r="A142" s="2215"/>
      <c r="B142" s="2216"/>
      <c r="C142" s="518" t="str">
        <f>F!C294</f>
        <v>&gt;95% of the AA with or without inhabited building nearby.</v>
      </c>
      <c r="D142" s="529">
        <f>F!D294</f>
        <v>0</v>
      </c>
      <c r="E142" s="305">
        <v>5</v>
      </c>
      <c r="F142" s="380">
        <f t="shared" si="6"/>
        <v>0</v>
      </c>
      <c r="G142" s="367"/>
      <c r="H142" s="2160"/>
      <c r="I142" s="2040"/>
    </row>
    <row r="143" spans="1:10" ht="75" customHeight="1" thickBot="1" x14ac:dyDescent="0.25">
      <c r="A143" s="2214" t="str">
        <f>F!A295</f>
        <v>F61</v>
      </c>
      <c r="B143" s="2209" t="str">
        <f>F!B295</f>
        <v>Frequently Visited Area</v>
      </c>
      <c r="C143" s="519" t="str">
        <f>F!C295</f>
        <v>The percentage of the AA visited by humans almost daily for several weeks during an average growing season probably comprises: [Note: Do not include visitors on trails outside of the AA unless more than half the wetland is visible from the trails and they are within 30 m of the wetland edge.  In that case, imagine the percentage of the AA that would be covered by the trail if it were placed within the AA.]</v>
      </c>
      <c r="D143" s="378"/>
      <c r="E143" s="368"/>
      <c r="F143" s="234"/>
      <c r="G143" s="232">
        <f>MAX(F144:F147)/MAX(E144:E147)</f>
        <v>0</v>
      </c>
      <c r="H143" s="2158" t="s">
        <v>139</v>
      </c>
      <c r="I143" s="2011" t="s">
        <v>75</v>
      </c>
    </row>
    <row r="144" spans="1:10" ht="15" customHeight="1" x14ac:dyDescent="0.2">
      <c r="A144" s="2215"/>
      <c r="B144" s="2216"/>
      <c r="C144" s="516" t="str">
        <f>F!C296</f>
        <v>&lt;5%.  If F62 was answered "&gt;95%", SKIP to F64 (Consumptive Uses).</v>
      </c>
      <c r="D144" s="197">
        <f>F!D296</f>
        <v>0</v>
      </c>
      <c r="E144" s="369">
        <v>3</v>
      </c>
      <c r="F144" s="377">
        <f>D144*E144</f>
        <v>0</v>
      </c>
      <c r="G144" s="235"/>
      <c r="H144" s="2159"/>
      <c r="I144" s="2040"/>
    </row>
    <row r="145" spans="1:66" ht="15" customHeight="1" x14ac:dyDescent="0.2">
      <c r="A145" s="2215"/>
      <c r="B145" s="2216"/>
      <c r="C145" s="517" t="str">
        <f>F!C297</f>
        <v>5-50%</v>
      </c>
      <c r="D145" s="431">
        <f>F!D297</f>
        <v>0</v>
      </c>
      <c r="E145" s="369">
        <v>2</v>
      </c>
      <c r="F145" s="377">
        <f>D145*E145</f>
        <v>0</v>
      </c>
      <c r="G145" s="236"/>
      <c r="H145" s="2159"/>
      <c r="I145" s="2040"/>
    </row>
    <row r="146" spans="1:66" ht="15" customHeight="1" x14ac:dyDescent="0.2">
      <c r="A146" s="2215"/>
      <c r="B146" s="2216"/>
      <c r="C146" s="517" t="str">
        <f>F!C298</f>
        <v>50-95%</v>
      </c>
      <c r="D146" s="431">
        <f>F!D298</f>
        <v>0</v>
      </c>
      <c r="E146" s="369">
        <v>1</v>
      </c>
      <c r="F146" s="377">
        <f>D146*E146</f>
        <v>0</v>
      </c>
      <c r="G146" s="236"/>
      <c r="H146" s="2159"/>
      <c r="I146" s="2040"/>
    </row>
    <row r="147" spans="1:66" ht="15" customHeight="1" thickBot="1" x14ac:dyDescent="0.25">
      <c r="A147" s="2217"/>
      <c r="B147" s="2218"/>
      <c r="C147" s="520" t="str">
        <f>F!C299</f>
        <v>&gt;95% of the AA.</v>
      </c>
      <c r="D147" s="102">
        <f>F!D299</f>
        <v>0</v>
      </c>
      <c r="E147" s="205">
        <v>0</v>
      </c>
      <c r="F147" s="244">
        <f>D147*E147</f>
        <v>0</v>
      </c>
      <c r="G147" s="237"/>
      <c r="H147" s="2160"/>
      <c r="I147" s="2041"/>
    </row>
    <row r="148" spans="1:66" ht="60" customHeight="1" thickBot="1" x14ac:dyDescent="0.25">
      <c r="A148" s="1687" t="str">
        <f>F!A301</f>
        <v>F63</v>
      </c>
      <c r="B148" s="1688" t="str">
        <f>F!B301</f>
        <v>BMP - Wildlife Protection</v>
      </c>
      <c r="C148" s="1073" t="str">
        <f>F!C301</f>
        <v xml:space="preserve">Fences, observation blinds, platforms, paved trails, exclusion periods, and/or well-enforced prohibitions on motorized boats, off-leash pets, and off road vehicles appear to effectively exclude or divert visitors and their pets from the AA at critical times in order to minimize disturbance of wildlife (except during hunting seasons).  Enter "1" if true. </v>
      </c>
      <c r="D148" s="1074">
        <f>F!D301</f>
        <v>0</v>
      </c>
      <c r="E148" s="1075"/>
      <c r="F148" s="269"/>
      <c r="G148" s="232">
        <f>IF((D142+D144&gt;1),"",D148)</f>
        <v>0</v>
      </c>
      <c r="H148" s="473" t="s">
        <v>841</v>
      </c>
      <c r="I148" s="352" t="s">
        <v>1334</v>
      </c>
    </row>
    <row r="149" spans="1:66" ht="27.6" customHeight="1" thickBot="1" x14ac:dyDescent="0.25">
      <c r="A149" s="2199" t="str">
        <f>F!A315</f>
        <v>F66</v>
      </c>
      <c r="B149" s="2199" t="str">
        <f>F!B315</f>
        <v>Distance to Tailings Pond</v>
      </c>
      <c r="C149" s="1689" t="str">
        <f>F!C315</f>
        <v>The distance between the AA and the nearest industrial (e.g., tailings) pond in which waterbirds could land and be exposed to contaminants is:</v>
      </c>
      <c r="D149" s="255"/>
      <c r="E149" s="594"/>
      <c r="F149" s="268"/>
      <c r="G149" s="232">
        <f>MAX(F150:F152)/MAX(E150:E152)</f>
        <v>0</v>
      </c>
      <c r="H149" s="1910" t="s">
        <v>2025</v>
      </c>
      <c r="I149" s="1867" t="s">
        <v>2024</v>
      </c>
    </row>
    <row r="150" spans="1:66" ht="15.6" customHeight="1" x14ac:dyDescent="0.2">
      <c r="A150" s="2200"/>
      <c r="B150" s="2200"/>
      <c r="C150" s="1690" t="str">
        <f>F!C316</f>
        <v>Within 0-100 m of the AA</v>
      </c>
      <c r="D150" s="778">
        <f>F!D316</f>
        <v>0</v>
      </c>
      <c r="E150" s="748">
        <v>0</v>
      </c>
      <c r="F150" s="722"/>
      <c r="G150" s="857"/>
      <c r="H150" s="1881"/>
      <c r="I150" s="1911"/>
    </row>
    <row r="151" spans="1:66" ht="15.6" customHeight="1" x14ac:dyDescent="0.2">
      <c r="A151" s="2200"/>
      <c r="B151" s="2200"/>
      <c r="C151" s="1691" t="str">
        <f>F!C317</f>
        <v>100-500 m away</v>
      </c>
      <c r="D151" s="778">
        <f>F!D317</f>
        <v>0</v>
      </c>
      <c r="E151" s="748">
        <v>1</v>
      </c>
      <c r="F151" s="722"/>
      <c r="G151" s="857"/>
      <c r="H151" s="1881"/>
      <c r="I151" s="1911"/>
    </row>
    <row r="152" spans="1:66" ht="15.6" customHeight="1" thickBot="1" x14ac:dyDescent="0.25">
      <c r="A152" s="2201"/>
      <c r="B152" s="2201"/>
      <c r="C152" s="1692" t="str">
        <f>F!C318</f>
        <v>&gt;500 m away, or no information</v>
      </c>
      <c r="D152" s="434">
        <f>F!D318</f>
        <v>0</v>
      </c>
      <c r="E152" s="305">
        <v>5</v>
      </c>
      <c r="F152" s="380"/>
      <c r="G152" s="720"/>
      <c r="H152" s="1881"/>
      <c r="I152" s="1911"/>
    </row>
    <row r="153" spans="1:66" ht="78" customHeight="1" thickBot="1" x14ac:dyDescent="0.25">
      <c r="A153" s="2192" t="str">
        <f>F!A324</f>
        <v>F68</v>
      </c>
      <c r="B153" s="2192" t="str">
        <f>F!B324</f>
        <v>Plants or Animals of Conservation Concern</v>
      </c>
      <c r="C153" s="1693" t="str">
        <f>F!C324</f>
        <v xml:space="preserve">If required, survey the AA for plant or animal species at risk in Alberta (see list in RarePlants or RareAnimals worksheet tabs), especially if the data review conducted during the office phase of this assessment indicated their past presence in the general vicinity. Do so at appropriate times of the year. If you do detect these species or have reliable knowledge of their recent (within ~5 years) occurrence within the AA, indicate that below.  </v>
      </c>
      <c r="D153" s="255"/>
      <c r="E153" s="368"/>
      <c r="F153" s="262"/>
      <c r="G153" s="1069" t="str">
        <f>IF((D154=0),"",1)</f>
        <v/>
      </c>
      <c r="H153" s="2171" t="s">
        <v>2008</v>
      </c>
      <c r="I153" s="1867" t="s">
        <v>2031</v>
      </c>
    </row>
    <row r="154" spans="1:66" ht="15" customHeight="1" thickBot="1" x14ac:dyDescent="0.25">
      <c r="A154" s="2193"/>
      <c r="B154" s="2193"/>
      <c r="C154" s="1694" t="str">
        <f>F!C328</f>
        <v>One or more of the rare waterbird species was detected within the AA.</v>
      </c>
      <c r="D154" s="1695">
        <f>F!D328</f>
        <v>0</v>
      </c>
      <c r="E154" s="205"/>
      <c r="F154" s="244"/>
      <c r="G154" s="890"/>
      <c r="H154" s="2173"/>
      <c r="I154" s="1978"/>
    </row>
    <row r="155" spans="1:66" s="11" customFormat="1" ht="57.75" customHeight="1" thickBot="1" x14ac:dyDescent="0.25">
      <c r="A155" s="899" t="str">
        <f>S!A25</f>
        <v>S2</v>
      </c>
      <c r="B155" s="899" t="str">
        <f>S!B25</f>
        <v>Accelerated Inputs of Contaminants and/or Salts</v>
      </c>
      <c r="C155" s="1071"/>
      <c r="D155" s="904">
        <f>S!F39</f>
        <v>0</v>
      </c>
      <c r="E155" s="890"/>
      <c r="F155" s="276"/>
      <c r="G155" s="231">
        <f>1-D155</f>
        <v>1</v>
      </c>
      <c r="H155" s="905" t="s">
        <v>1760</v>
      </c>
      <c r="I155" s="1416" t="s">
        <v>2023</v>
      </c>
      <c r="J155" s="14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row>
    <row r="156" spans="1:66" ht="21" customHeight="1" thickBot="1" x14ac:dyDescent="0.25">
      <c r="A156" s="614"/>
      <c r="B156" s="614"/>
      <c r="D156" s="612"/>
      <c r="E156" s="612"/>
      <c r="F156" s="612"/>
      <c r="G156" s="612"/>
      <c r="H156" s="394"/>
      <c r="I156" s="394"/>
    </row>
    <row r="157" spans="1:66" s="5" customFormat="1" ht="21" customHeight="1" thickBot="1" x14ac:dyDescent="0.25">
      <c r="A157" s="11"/>
      <c r="B157" s="11"/>
      <c r="C157" s="391" t="s">
        <v>753</v>
      </c>
      <c r="D157" s="613"/>
      <c r="E157" s="613"/>
      <c r="F157" s="613"/>
      <c r="G157" s="613"/>
      <c r="H157" s="6"/>
      <c r="I157" s="6"/>
      <c r="J157" s="574"/>
    </row>
    <row r="158" spans="1:66" s="5" customFormat="1" ht="30" customHeight="1" thickBot="1" x14ac:dyDescent="0.25">
      <c r="A158" s="1246"/>
      <c r="B158" s="1696"/>
      <c r="C158" s="408" t="s">
        <v>2484</v>
      </c>
      <c r="D158" s="293"/>
      <c r="E158" s="293"/>
      <c r="F158" s="293"/>
      <c r="G158" s="285">
        <f>MAX(SBhab13,AVERAGE(WetVegArea,ISOdry13,OWpct13,Interspers13,EmPct13,DepthEven13,SBhab13,ShoreSlope13,TreeForm13,SnagB13,Island13,VwidthAbs13))</f>
        <v>0</v>
      </c>
      <c r="H158" s="6"/>
      <c r="I158" s="6"/>
      <c r="J158" s="140"/>
    </row>
    <row r="159" spans="1:66" s="5" customFormat="1" ht="21" customHeight="1" thickBot="1" x14ac:dyDescent="0.25">
      <c r="A159" s="1246"/>
      <c r="B159" s="1246"/>
      <c r="D159" s="827"/>
      <c r="E159" s="827"/>
      <c r="F159" s="827"/>
      <c r="G159" s="827"/>
      <c r="H159" s="6"/>
      <c r="I159" s="6"/>
      <c r="J159" s="574"/>
    </row>
    <row r="160" spans="1:66" s="5" customFormat="1" ht="21" customHeight="1" thickBot="1" x14ac:dyDescent="0.25">
      <c r="A160" s="1246"/>
      <c r="B160" s="1246"/>
      <c r="C160" s="391" t="s">
        <v>754</v>
      </c>
      <c r="D160" s="1027"/>
      <c r="E160" s="1027"/>
      <c r="F160" s="1027"/>
      <c r="G160" s="1027"/>
      <c r="H160" s="6"/>
      <c r="I160" s="6"/>
      <c r="J160" s="574"/>
    </row>
    <row r="161" spans="1:13" s="5" customFormat="1" ht="30" customHeight="1" thickBot="1" x14ac:dyDescent="0.25">
      <c r="A161" s="10"/>
      <c r="B161" s="940"/>
      <c r="C161" s="1072" t="s">
        <v>2485</v>
      </c>
      <c r="D161" s="590"/>
      <c r="E161" s="507"/>
      <c r="F161" s="507"/>
      <c r="G161" s="285">
        <f>AVERAGE(Gradient13,Wettype13,AVERAGE(GrowDD,RipFloodpl,Lake13,Fish13,Acidic13,Woody13,SeasWpct13,Beaver13,SatPct13,Fluctu13))</f>
        <v>0</v>
      </c>
      <c r="H161" s="6"/>
      <c r="I161" s="6"/>
      <c r="J161" s="574"/>
    </row>
    <row r="162" spans="1:13" s="5" customFormat="1" ht="21" customHeight="1" thickBot="1" x14ac:dyDescent="0.25">
      <c r="A162" s="10"/>
      <c r="B162" s="10"/>
      <c r="D162" s="827"/>
      <c r="E162" s="827"/>
      <c r="F162" s="827"/>
      <c r="G162" s="827"/>
      <c r="H162" s="6"/>
      <c r="I162" s="6"/>
      <c r="J162" s="574"/>
    </row>
    <row r="163" spans="1:13" s="5" customFormat="1" ht="21" customHeight="1" thickBot="1" x14ac:dyDescent="0.25">
      <c r="A163" s="10"/>
      <c r="B163" s="10"/>
      <c r="C163" s="392" t="s">
        <v>755</v>
      </c>
      <c r="D163" s="1027"/>
      <c r="E163" s="1027"/>
      <c r="F163" s="1027"/>
      <c r="G163" s="1027"/>
      <c r="H163" s="6"/>
      <c r="I163" s="6"/>
      <c r="J163" s="574"/>
    </row>
    <row r="164" spans="1:13" s="5" customFormat="1" ht="21" customHeight="1" thickBot="1" x14ac:dyDescent="0.25">
      <c r="A164" s="10"/>
      <c r="B164" s="940"/>
      <c r="C164" s="310" t="s">
        <v>2486</v>
      </c>
      <c r="D164" s="1086"/>
      <c r="E164" s="507"/>
      <c r="F164" s="507"/>
      <c r="G164" s="285" t="str">
        <f>IFERROR(AVERAGE(WetDens1k_OW,  UndevOpenL1k,OWpct_WB),"")</f>
        <v/>
      </c>
      <c r="H164" s="6"/>
      <c r="I164" s="6"/>
      <c r="J164" s="574"/>
    </row>
    <row r="165" spans="1:13" s="6" customFormat="1" ht="21" customHeight="1" thickBot="1" x14ac:dyDescent="0.25">
      <c r="A165" s="21"/>
      <c r="B165" s="21"/>
      <c r="C165" s="110"/>
      <c r="D165" s="617"/>
      <c r="E165" s="617"/>
      <c r="F165" s="617"/>
      <c r="G165" s="617"/>
      <c r="J165" s="137"/>
    </row>
    <row r="166" spans="1:13" s="5" customFormat="1" ht="21" customHeight="1" thickBot="1" x14ac:dyDescent="0.25">
      <c r="A166" s="21"/>
      <c r="B166" s="21"/>
      <c r="C166" s="391" t="s">
        <v>836</v>
      </c>
      <c r="D166" s="618"/>
      <c r="E166" s="618"/>
      <c r="F166" s="618"/>
      <c r="G166" s="618"/>
      <c r="H166" s="6"/>
      <c r="I166" s="6"/>
      <c r="J166" s="574"/>
    </row>
    <row r="167" spans="1:13" s="5" customFormat="1" ht="27.75" customHeight="1" thickBot="1" x14ac:dyDescent="0.25">
      <c r="A167" s="10"/>
      <c r="B167" s="940"/>
      <c r="C167" s="1072" t="s">
        <v>2026</v>
      </c>
      <c r="D167" s="590"/>
      <c r="E167" s="507"/>
      <c r="F167" s="507"/>
      <c r="G167" s="589">
        <f>AVERAGE(Dist2DevCrop, BuffNatPct13, HazPond,Core1_13, Core2_13, BMP_13,ToxSource13)</f>
        <v>0.16666666666666666</v>
      </c>
      <c r="H167" s="6"/>
      <c r="I167" s="6"/>
      <c r="J167" s="574"/>
    </row>
    <row r="168" spans="1:13" s="5" customFormat="1" ht="21" customHeight="1" thickBot="1" x14ac:dyDescent="0.25">
      <c r="A168" s="1246"/>
      <c r="B168" s="1246"/>
      <c r="D168" s="827"/>
      <c r="E168" s="827"/>
      <c r="F168" s="827"/>
      <c r="G168" s="827"/>
      <c r="H168" s="6"/>
      <c r="I168" s="6"/>
      <c r="J168" s="574"/>
    </row>
    <row r="169" spans="1:13" s="5" customFormat="1" ht="21" customHeight="1" thickBot="1" x14ac:dyDescent="0.25">
      <c r="A169" s="1246"/>
      <c r="B169" s="1246"/>
      <c r="C169" s="639" t="s">
        <v>846</v>
      </c>
      <c r="H169" s="6"/>
      <c r="I169" s="6"/>
      <c r="J169" s="574"/>
    </row>
    <row r="170" spans="1:13" s="5" customFormat="1" ht="21" customHeight="1" thickBot="1" x14ac:dyDescent="0.25">
      <c r="A170" s="1246"/>
      <c r="B170" s="1246"/>
      <c r="C170" s="409" t="s">
        <v>621</v>
      </c>
      <c r="D170" s="1027"/>
      <c r="E170" s="1027"/>
      <c r="F170" s="1027"/>
      <c r="G170" s="1027"/>
      <c r="H170" s="6"/>
      <c r="I170" s="6"/>
      <c r="J170" s="574"/>
    </row>
    <row r="171" spans="1:13" s="5" customFormat="1" ht="30" customHeight="1" thickBot="1" x14ac:dyDescent="0.25">
      <c r="A171" s="1246"/>
      <c r="B171" s="1246"/>
      <c r="C171" s="83" t="s">
        <v>2487</v>
      </c>
      <c r="D171" s="507"/>
      <c r="E171" s="507"/>
      <c r="F171" s="507"/>
      <c r="G171" s="582">
        <f>IF((MAX(IBirdArea,TrumSwan, RareBirdUse,RareWB)&gt;0),10, 10*AVERAGE(PermWpct13, UniqMarshShallowOW, HabStrucW1a, CfixW1a, LscapeW1a, StressW1a))</f>
        <v>0.41666666666666663</v>
      </c>
      <c r="H171" s="6"/>
      <c r="I171" s="6"/>
      <c r="J171" s="574"/>
    </row>
    <row r="172" spans="1:13" s="940" customFormat="1" ht="21" customHeight="1" thickBot="1" x14ac:dyDescent="0.25">
      <c r="A172" s="1246"/>
      <c r="B172" s="1246"/>
      <c r="D172" s="579"/>
      <c r="E172" s="489"/>
      <c r="F172" s="489"/>
      <c r="G172" s="489"/>
      <c r="H172" s="591"/>
      <c r="I172" s="843" t="s">
        <v>293</v>
      </c>
      <c r="J172" s="141"/>
      <c r="K172" s="110"/>
      <c r="L172" s="110"/>
      <c r="M172" s="110"/>
    </row>
    <row r="173" spans="1:13" s="122" customFormat="1" ht="51" x14ac:dyDescent="0.2">
      <c r="A173" s="1467"/>
      <c r="B173" s="1552"/>
      <c r="C173" s="1467"/>
      <c r="D173" s="1468"/>
      <c r="E173" s="489"/>
      <c r="F173" s="489"/>
      <c r="G173" s="489"/>
      <c r="H173" s="591"/>
      <c r="I173" s="844" t="s">
        <v>1103</v>
      </c>
      <c r="J173" s="140"/>
      <c r="K173" s="119"/>
      <c r="L173" s="119"/>
      <c r="M173" s="119"/>
    </row>
    <row r="174" spans="1:13" s="122" customFormat="1" ht="38.25" x14ac:dyDescent="0.2">
      <c r="A174" s="1467"/>
      <c r="B174" s="1630"/>
      <c r="C174" s="1467" t="s">
        <v>406</v>
      </c>
      <c r="D174" s="1468"/>
      <c r="E174" s="489"/>
      <c r="F174" s="489"/>
      <c r="G174" s="489"/>
      <c r="H174" s="591"/>
      <c r="I174" s="1404" t="s">
        <v>1104</v>
      </c>
      <c r="J174" s="140"/>
      <c r="K174" s="119"/>
      <c r="L174" s="119"/>
      <c r="M174" s="119"/>
    </row>
    <row r="175" spans="1:13" s="122" customFormat="1" ht="38.25" x14ac:dyDescent="0.2">
      <c r="A175" s="1467"/>
      <c r="B175" s="1552"/>
      <c r="C175" s="1467"/>
      <c r="D175" s="1468"/>
      <c r="E175" s="489"/>
      <c r="F175" s="489"/>
      <c r="G175" s="489"/>
      <c r="H175" s="591"/>
      <c r="I175" s="845" t="s">
        <v>1105</v>
      </c>
      <c r="J175" s="140"/>
      <c r="K175" s="119"/>
      <c r="L175" s="119"/>
      <c r="M175" s="119"/>
    </row>
    <row r="176" spans="1:13" s="122" customFormat="1" ht="38.25" x14ac:dyDescent="0.2">
      <c r="A176" s="1467"/>
      <c r="B176" s="1552"/>
      <c r="C176" s="1467"/>
      <c r="D176" s="1468"/>
      <c r="E176" s="489"/>
      <c r="F176" s="489"/>
      <c r="G176" s="489"/>
      <c r="H176" s="591"/>
      <c r="I176" s="845" t="s">
        <v>1106</v>
      </c>
      <c r="J176" s="140"/>
      <c r="K176" s="119"/>
      <c r="L176" s="119"/>
      <c r="M176" s="119"/>
    </row>
    <row r="177" spans="1:13" s="122" customFormat="1" ht="38.25" x14ac:dyDescent="0.2">
      <c r="A177" s="1467"/>
      <c r="B177" s="1552"/>
      <c r="C177" s="1467"/>
      <c r="D177" s="1468"/>
      <c r="E177" s="489"/>
      <c r="F177" s="489"/>
      <c r="G177" s="489"/>
      <c r="H177" s="591"/>
      <c r="I177" s="845" t="s">
        <v>1870</v>
      </c>
      <c r="J177" s="140"/>
      <c r="K177" s="119"/>
      <c r="L177" s="119"/>
      <c r="M177" s="119"/>
    </row>
    <row r="178" spans="1:13" s="122" customFormat="1" ht="38.25" x14ac:dyDescent="0.2">
      <c r="A178" s="1467"/>
      <c r="B178" s="1552"/>
      <c r="C178" s="1467"/>
      <c r="D178" s="1468"/>
      <c r="E178" s="489"/>
      <c r="F178" s="489"/>
      <c r="G178" s="489"/>
      <c r="H178" s="591"/>
      <c r="I178" s="845" t="s">
        <v>1107</v>
      </c>
      <c r="J178" s="140"/>
      <c r="K178" s="119"/>
      <c r="L178" s="119"/>
      <c r="M178" s="119"/>
    </row>
    <row r="179" spans="1:13" s="122" customFormat="1" ht="25.5" x14ac:dyDescent="0.2">
      <c r="A179" s="1467"/>
      <c r="B179" s="1630"/>
      <c r="C179" s="1467"/>
      <c r="D179" s="1468"/>
      <c r="E179" s="489"/>
      <c r="F179" s="489"/>
      <c r="G179" s="489"/>
      <c r="H179" s="591"/>
      <c r="I179" s="1407" t="s">
        <v>357</v>
      </c>
      <c r="J179" s="140"/>
      <c r="K179" s="119"/>
      <c r="L179" s="119"/>
      <c r="M179" s="119"/>
    </row>
    <row r="180" spans="1:13" s="940" customFormat="1" ht="25.5" x14ac:dyDescent="0.2">
      <c r="A180" s="1467"/>
      <c r="B180" s="412"/>
      <c r="C180" s="588"/>
      <c r="D180" s="1554"/>
      <c r="E180" s="489"/>
      <c r="F180" s="489"/>
      <c r="G180" s="489"/>
      <c r="H180" s="591"/>
      <c r="I180" s="1407" t="s">
        <v>482</v>
      </c>
      <c r="J180" s="141"/>
      <c r="K180" s="110"/>
      <c r="L180" s="110"/>
      <c r="M180" s="110"/>
    </row>
    <row r="181" spans="1:13" s="940" customFormat="1" ht="51" x14ac:dyDescent="0.2">
      <c r="A181" s="1467"/>
      <c r="B181" s="1552"/>
      <c r="C181" s="1467"/>
      <c r="D181" s="1468"/>
      <c r="E181" s="489"/>
      <c r="F181" s="489"/>
      <c r="G181" s="489"/>
      <c r="H181" s="591"/>
      <c r="I181" s="1407" t="s">
        <v>1871</v>
      </c>
      <c r="J181" s="141"/>
      <c r="K181" s="110"/>
      <c r="L181" s="110"/>
      <c r="M181" s="110"/>
    </row>
    <row r="182" spans="1:13" s="940" customFormat="1" ht="38.25" x14ac:dyDescent="0.2">
      <c r="A182" s="1467"/>
      <c r="B182" s="1630"/>
      <c r="C182" s="1467"/>
      <c r="D182" s="1468"/>
      <c r="E182" s="489"/>
      <c r="F182" s="489"/>
      <c r="G182" s="489"/>
      <c r="H182" s="591"/>
      <c r="I182" s="1407" t="s">
        <v>358</v>
      </c>
      <c r="J182" s="141"/>
      <c r="K182" s="110"/>
      <c r="L182" s="110"/>
      <c r="M182" s="110"/>
    </row>
    <row r="183" spans="1:13" s="940" customFormat="1" ht="51" x14ac:dyDescent="0.2">
      <c r="A183" s="1467"/>
      <c r="B183" s="1552"/>
      <c r="C183" s="1467"/>
      <c r="D183" s="1468"/>
      <c r="E183" s="489"/>
      <c r="F183" s="489"/>
      <c r="G183" s="489"/>
      <c r="H183" s="591"/>
      <c r="I183" s="821" t="s">
        <v>1872</v>
      </c>
      <c r="J183" s="141"/>
      <c r="K183" s="110"/>
      <c r="L183" s="110"/>
      <c r="M183" s="110"/>
    </row>
    <row r="184" spans="1:13" s="940" customFormat="1" ht="38.25" x14ac:dyDescent="0.2">
      <c r="A184" s="1467"/>
      <c r="B184" s="1552"/>
      <c r="C184" s="1467"/>
      <c r="D184" s="1468"/>
      <c r="E184" s="489"/>
      <c r="F184" s="489"/>
      <c r="G184" s="489"/>
      <c r="H184" s="591"/>
      <c r="I184" s="845" t="s">
        <v>1108</v>
      </c>
      <c r="J184" s="141"/>
      <c r="K184" s="110"/>
      <c r="L184" s="110"/>
      <c r="M184" s="110"/>
    </row>
    <row r="185" spans="1:13" s="940" customFormat="1" ht="38.25" x14ac:dyDescent="0.2">
      <c r="A185" s="1467"/>
      <c r="B185" s="1552"/>
      <c r="C185" s="1467"/>
      <c r="D185" s="1468"/>
      <c r="E185" s="489"/>
      <c r="F185" s="489"/>
      <c r="G185" s="489"/>
      <c r="H185" s="591"/>
      <c r="I185" s="845" t="s">
        <v>1873</v>
      </c>
      <c r="J185" s="141"/>
      <c r="K185" s="110"/>
      <c r="L185" s="110"/>
      <c r="M185" s="110"/>
    </row>
    <row r="186" spans="1:13" s="940" customFormat="1" ht="38.25" x14ac:dyDescent="0.2">
      <c r="A186" s="1467"/>
      <c r="B186" s="1552"/>
      <c r="C186" s="1467"/>
      <c r="D186" s="1468"/>
      <c r="E186" s="489"/>
      <c r="F186" s="489"/>
      <c r="G186" s="489"/>
      <c r="H186" s="591"/>
      <c r="I186" s="845" t="s">
        <v>1874</v>
      </c>
      <c r="J186" s="141"/>
      <c r="K186" s="110"/>
      <c r="L186" s="110"/>
      <c r="M186" s="110"/>
    </row>
    <row r="187" spans="1:13" s="940" customFormat="1" ht="51" x14ac:dyDescent="0.2">
      <c r="A187" s="1467"/>
      <c r="B187" s="1630"/>
      <c r="C187" s="1467"/>
      <c r="D187" s="1468"/>
      <c r="E187" s="489"/>
      <c r="F187" s="489"/>
      <c r="G187" s="489"/>
      <c r="H187" s="591"/>
      <c r="I187" s="823" t="s">
        <v>1875</v>
      </c>
      <c r="J187" s="141"/>
      <c r="K187" s="110"/>
      <c r="L187" s="110"/>
      <c r="M187" s="110"/>
    </row>
    <row r="188" spans="1:13" s="940" customFormat="1" ht="38.25" x14ac:dyDescent="0.2">
      <c r="A188" s="110"/>
      <c r="B188" s="110"/>
      <c r="C188" s="110"/>
      <c r="D188" s="110"/>
      <c r="E188" s="110"/>
      <c r="F188" s="110"/>
      <c r="G188" s="110"/>
      <c r="H188" s="1389"/>
      <c r="I188" s="1407" t="s">
        <v>483</v>
      </c>
      <c r="J188" s="141"/>
      <c r="K188" s="110"/>
      <c r="L188" s="110"/>
      <c r="M188" s="110"/>
    </row>
    <row r="189" spans="1:13" s="940" customFormat="1" ht="51" x14ac:dyDescent="0.2">
      <c r="A189" s="110"/>
      <c r="B189" s="110"/>
      <c r="C189" s="110"/>
      <c r="D189" s="110"/>
      <c r="E189" s="110"/>
      <c r="F189" s="110"/>
      <c r="G189" s="110"/>
      <c r="H189" s="1389"/>
      <c r="I189" s="845" t="s">
        <v>1109</v>
      </c>
      <c r="J189" s="141"/>
      <c r="K189" s="110"/>
      <c r="L189" s="110"/>
      <c r="M189" s="110"/>
    </row>
    <row r="190" spans="1:13" ht="38.25" x14ac:dyDescent="0.2">
      <c r="A190" s="110"/>
      <c r="B190" s="110"/>
      <c r="C190" s="110"/>
      <c r="D190" s="110"/>
      <c r="E190" s="110"/>
      <c r="F190" s="110"/>
      <c r="G190" s="110"/>
      <c r="H190" s="1389"/>
      <c r="I190" s="1404" t="s">
        <v>1110</v>
      </c>
    </row>
    <row r="191" spans="1:13" ht="25.5" x14ac:dyDescent="0.2">
      <c r="A191" s="110"/>
      <c r="B191" s="110"/>
      <c r="C191" s="110"/>
      <c r="D191" s="110"/>
      <c r="E191" s="110"/>
      <c r="F191" s="110"/>
      <c r="G191" s="110"/>
      <c r="H191" s="1389"/>
      <c r="I191" s="1407" t="s">
        <v>359</v>
      </c>
    </row>
    <row r="192" spans="1:13" ht="38.25" x14ac:dyDescent="0.2">
      <c r="A192" s="110"/>
      <c r="B192" s="110"/>
      <c r="C192" s="110"/>
      <c r="D192" s="110"/>
      <c r="E192" s="110"/>
      <c r="F192" s="110"/>
      <c r="G192" s="110"/>
      <c r="H192" s="1389"/>
      <c r="I192" s="1407" t="s">
        <v>1876</v>
      </c>
    </row>
    <row r="193" spans="1:10" ht="38.25" x14ac:dyDescent="0.2">
      <c r="A193" s="110"/>
      <c r="B193" s="110"/>
      <c r="C193" s="110"/>
      <c r="D193" s="110"/>
      <c r="E193" s="110"/>
      <c r="F193" s="110"/>
      <c r="G193" s="110"/>
      <c r="H193" s="1389"/>
      <c r="I193" s="1407" t="s">
        <v>1877</v>
      </c>
    </row>
    <row r="194" spans="1:10" ht="38.25" x14ac:dyDescent="0.2">
      <c r="A194" s="110"/>
      <c r="B194" s="110"/>
      <c r="C194" s="110"/>
      <c r="D194" s="110"/>
      <c r="E194" s="110"/>
      <c r="F194" s="110"/>
      <c r="G194" s="110"/>
      <c r="H194" s="1389"/>
      <c r="I194" s="1404" t="s">
        <v>536</v>
      </c>
    </row>
    <row r="195" spans="1:10" ht="38.25" x14ac:dyDescent="0.2">
      <c r="C195" s="200"/>
      <c r="I195" s="1404" t="s">
        <v>1114</v>
      </c>
    </row>
    <row r="196" spans="1:10" ht="38.25" x14ac:dyDescent="0.2">
      <c r="C196" s="200"/>
      <c r="I196" s="845" t="s">
        <v>1111</v>
      </c>
    </row>
    <row r="197" spans="1:10" ht="38.25" x14ac:dyDescent="0.2">
      <c r="C197" s="200"/>
      <c r="I197" s="845" t="s">
        <v>1855</v>
      </c>
    </row>
    <row r="198" spans="1:10" ht="25.5" x14ac:dyDescent="0.2">
      <c r="C198" s="200"/>
      <c r="I198" s="846" t="s">
        <v>1112</v>
      </c>
    </row>
    <row r="199" spans="1:10" ht="51" x14ac:dyDescent="0.2">
      <c r="C199" s="200"/>
      <c r="I199" s="846" t="s">
        <v>1878</v>
      </c>
    </row>
    <row r="200" spans="1:10" ht="51" x14ac:dyDescent="0.2">
      <c r="C200" s="200"/>
      <c r="I200" s="846" t="s">
        <v>1879</v>
      </c>
    </row>
    <row r="201" spans="1:10" s="213" customFormat="1" ht="38.25" x14ac:dyDescent="0.2">
      <c r="A201" s="15"/>
      <c r="B201" s="15"/>
      <c r="D201" s="181"/>
      <c r="E201" s="181"/>
      <c r="F201" s="181"/>
      <c r="G201" s="251"/>
      <c r="H201" s="19"/>
      <c r="I201" s="846" t="s">
        <v>534</v>
      </c>
      <c r="J201" s="134"/>
    </row>
    <row r="202" spans="1:10" s="213" customFormat="1" ht="38.25" x14ac:dyDescent="0.2">
      <c r="A202" s="15"/>
      <c r="B202" s="15"/>
      <c r="D202" s="181"/>
      <c r="E202" s="181"/>
      <c r="F202" s="181"/>
      <c r="G202" s="251"/>
      <c r="H202" s="19"/>
      <c r="I202" s="846" t="s">
        <v>535</v>
      </c>
      <c r="J202" s="134"/>
    </row>
    <row r="203" spans="1:10" s="213" customFormat="1" ht="38.25" x14ac:dyDescent="0.2">
      <c r="A203" s="15"/>
      <c r="B203" s="15"/>
      <c r="D203" s="181"/>
      <c r="E203" s="181"/>
      <c r="F203" s="181"/>
      <c r="G203" s="251"/>
      <c r="H203" s="19"/>
      <c r="I203" s="845" t="s">
        <v>1113</v>
      </c>
      <c r="J203" s="134"/>
    </row>
    <row r="204" spans="1:10" s="213" customFormat="1" ht="38.25" x14ac:dyDescent="0.2">
      <c r="A204" s="15"/>
      <c r="B204" s="15"/>
      <c r="D204" s="181"/>
      <c r="E204" s="181"/>
      <c r="F204" s="181"/>
      <c r="G204" s="251"/>
      <c r="H204" s="19"/>
      <c r="I204" s="1426" t="s">
        <v>1880</v>
      </c>
      <c r="J204" s="134"/>
    </row>
    <row r="205" spans="1:10" s="213" customFormat="1" ht="38.25" x14ac:dyDescent="0.2">
      <c r="A205" s="15"/>
      <c r="B205" s="15"/>
      <c r="D205" s="181"/>
      <c r="E205" s="181"/>
      <c r="F205" s="181"/>
      <c r="G205" s="251"/>
      <c r="H205" s="19"/>
      <c r="I205" s="1426" t="s">
        <v>1881</v>
      </c>
      <c r="J205" s="134"/>
    </row>
    <row r="206" spans="1:10" s="213" customFormat="1" ht="25.5" x14ac:dyDescent="0.2">
      <c r="A206" s="15"/>
      <c r="B206" s="15"/>
      <c r="D206" s="181"/>
      <c r="E206" s="181"/>
      <c r="F206" s="181"/>
      <c r="G206" s="251"/>
      <c r="H206" s="19"/>
      <c r="I206" s="1426" t="s">
        <v>1882</v>
      </c>
      <c r="J206" s="134"/>
    </row>
    <row r="207" spans="1:10" s="213" customFormat="1" ht="38.25" x14ac:dyDescent="0.2">
      <c r="A207" s="15"/>
      <c r="B207" s="15"/>
      <c r="D207" s="181"/>
      <c r="E207" s="181"/>
      <c r="F207" s="181"/>
      <c r="G207" s="251"/>
      <c r="H207" s="19"/>
      <c r="I207" s="1426" t="s">
        <v>1883</v>
      </c>
      <c r="J207" s="134"/>
    </row>
    <row r="208" spans="1:10" s="213" customFormat="1" ht="39" thickBot="1" x14ac:dyDescent="0.25">
      <c r="A208" s="15"/>
      <c r="B208" s="15"/>
      <c r="D208" s="181"/>
      <c r="E208" s="181"/>
      <c r="F208" s="181"/>
      <c r="G208" s="251"/>
      <c r="H208" s="19"/>
      <c r="I208" s="572" t="s">
        <v>1884</v>
      </c>
      <c r="J208" s="134"/>
    </row>
    <row r="209" spans="1:8" x14ac:dyDescent="0.2">
      <c r="C209" s="200"/>
    </row>
    <row r="210" spans="1:8" x14ac:dyDescent="0.2">
      <c r="C210" s="200"/>
    </row>
    <row r="211" spans="1:8" x14ac:dyDescent="0.2">
      <c r="C211" s="200"/>
    </row>
    <row r="212" spans="1:8" x14ac:dyDescent="0.2">
      <c r="C212" s="200"/>
    </row>
    <row r="213" spans="1:8" x14ac:dyDescent="0.2">
      <c r="C213" s="200"/>
    </row>
    <row r="214" spans="1:8" x14ac:dyDescent="0.2">
      <c r="C214" s="200"/>
    </row>
    <row r="219" spans="1:8" x14ac:dyDescent="0.2">
      <c r="A219" s="200"/>
      <c r="B219" s="200"/>
      <c r="C219" s="200"/>
      <c r="D219" s="200"/>
      <c r="E219" s="200"/>
      <c r="F219" s="200"/>
      <c r="G219" s="200"/>
      <c r="H219" s="200"/>
    </row>
    <row r="220" spans="1:8" x14ac:dyDescent="0.2">
      <c r="A220" s="200"/>
      <c r="B220" s="200"/>
      <c r="C220" s="200"/>
      <c r="D220" s="200"/>
      <c r="E220" s="200"/>
      <c r="F220" s="200"/>
      <c r="G220" s="200"/>
      <c r="H220" s="200"/>
    </row>
    <row r="221" spans="1:8" x14ac:dyDescent="0.2">
      <c r="A221" s="200"/>
      <c r="B221" s="200"/>
      <c r="C221" s="200"/>
      <c r="D221" s="200"/>
      <c r="E221" s="200"/>
      <c r="F221" s="200"/>
      <c r="G221" s="200"/>
      <c r="H221" s="200"/>
    </row>
    <row r="222" spans="1:8" x14ac:dyDescent="0.2">
      <c r="A222" s="200"/>
      <c r="B222" s="200"/>
      <c r="C222" s="200"/>
      <c r="D222" s="200"/>
      <c r="E222" s="200"/>
      <c r="F222" s="200"/>
      <c r="G222" s="200"/>
      <c r="H222" s="200"/>
    </row>
    <row r="223" spans="1:8" x14ac:dyDescent="0.2">
      <c r="A223" s="200"/>
      <c r="B223" s="200"/>
      <c r="C223" s="200"/>
      <c r="D223" s="200"/>
      <c r="E223" s="200"/>
      <c r="F223" s="200"/>
      <c r="G223" s="200"/>
      <c r="H223" s="200"/>
    </row>
    <row r="224" spans="1:8" x14ac:dyDescent="0.2">
      <c r="A224" s="200"/>
      <c r="B224" s="200"/>
      <c r="C224" s="200"/>
      <c r="D224" s="200"/>
      <c r="E224" s="200"/>
      <c r="F224" s="200"/>
      <c r="G224" s="200"/>
      <c r="H224" s="200"/>
    </row>
    <row r="225" spans="1:8" x14ac:dyDescent="0.2">
      <c r="A225" s="200"/>
      <c r="B225" s="200"/>
      <c r="C225" s="200"/>
      <c r="D225" s="200"/>
      <c r="E225" s="200"/>
      <c r="F225" s="200"/>
      <c r="G225" s="200"/>
      <c r="H225" s="200"/>
    </row>
    <row r="226" spans="1:8" x14ac:dyDescent="0.2">
      <c r="A226" s="200"/>
      <c r="B226" s="200"/>
      <c r="C226" s="200"/>
      <c r="D226" s="200"/>
      <c r="E226" s="200"/>
      <c r="F226" s="200"/>
      <c r="G226" s="200"/>
      <c r="H226" s="200"/>
    </row>
  </sheetData>
  <sheetProtection password="C4B9" sheet="1" objects="1" scenarios="1"/>
  <sortState ref="C206:C227">
    <sortCondition ref="C227"/>
  </sortState>
  <customSheetViews>
    <customSheetView guid="{B8E02330-2419-4DE6-AD01-7ACC7A5D18DD}" scale="75" topLeftCell="A204">
      <selection activeCell="A2" sqref="A2:H226"/>
      <pageMargins left="0.75" right="0.75" top="1" bottom="1" header="0.5" footer="0.5"/>
      <pageSetup orientation="portrait" r:id="rId1"/>
      <headerFooter alignWithMargins="0"/>
    </customSheetView>
  </customSheetViews>
  <mergeCells count="98">
    <mergeCell ref="H153:H154"/>
    <mergeCell ref="I153:I154"/>
    <mergeCell ref="B116:B120"/>
    <mergeCell ref="A116:A120"/>
    <mergeCell ref="B121:B124"/>
    <mergeCell ref="A121:A124"/>
    <mergeCell ref="A125:A129"/>
    <mergeCell ref="A130:A135"/>
    <mergeCell ref="I143:I147"/>
    <mergeCell ref="B136:B142"/>
    <mergeCell ref="H143:H147"/>
    <mergeCell ref="I136:I142"/>
    <mergeCell ref="A136:A142"/>
    <mergeCell ref="A143:A147"/>
    <mergeCell ref="B143:B147"/>
    <mergeCell ref="B130:B135"/>
    <mergeCell ref="A22:A28"/>
    <mergeCell ref="A38:A41"/>
    <mergeCell ref="B47:B52"/>
    <mergeCell ref="A29:A37"/>
    <mergeCell ref="B29:B37"/>
    <mergeCell ref="B42:B46"/>
    <mergeCell ref="A47:A52"/>
    <mergeCell ref="A42:A46"/>
    <mergeCell ref="B125:B129"/>
    <mergeCell ref="A1:B1"/>
    <mergeCell ref="B53:B58"/>
    <mergeCell ref="A53:A58"/>
    <mergeCell ref="A67:A72"/>
    <mergeCell ref="A59:A65"/>
    <mergeCell ref="B67:B72"/>
    <mergeCell ref="A73:A78"/>
    <mergeCell ref="A79:A82"/>
    <mergeCell ref="B79:B82"/>
    <mergeCell ref="B73:B78"/>
    <mergeCell ref="B59:B65"/>
    <mergeCell ref="A110:A113"/>
    <mergeCell ref="B110:B113"/>
    <mergeCell ref="B97:B103"/>
    <mergeCell ref="B22:B28"/>
    <mergeCell ref="B15:B21"/>
    <mergeCell ref="H15:H21"/>
    <mergeCell ref="E1:I1"/>
    <mergeCell ref="H53:H58"/>
    <mergeCell ref="I15:I21"/>
    <mergeCell ref="B38:B41"/>
    <mergeCell ref="I22:I28"/>
    <mergeCell ref="I29:I37"/>
    <mergeCell ref="H47:H52"/>
    <mergeCell ref="I38:I41"/>
    <mergeCell ref="I73:I78"/>
    <mergeCell ref="H79:H82"/>
    <mergeCell ref="H22:H28"/>
    <mergeCell ref="H29:H37"/>
    <mergeCell ref="H38:H41"/>
    <mergeCell ref="I42:I46"/>
    <mergeCell ref="I47:I52"/>
    <mergeCell ref="I59:I65"/>
    <mergeCell ref="I67:I72"/>
    <mergeCell ref="I53:I58"/>
    <mergeCell ref="H83:H89"/>
    <mergeCell ref="H42:H46"/>
    <mergeCell ref="H130:H135"/>
    <mergeCell ref="H136:H142"/>
    <mergeCell ref="H59:H65"/>
    <mergeCell ref="H67:H72"/>
    <mergeCell ref="H73:H78"/>
    <mergeCell ref="H121:H124"/>
    <mergeCell ref="H125:H129"/>
    <mergeCell ref="H110:H113"/>
    <mergeCell ref="H116:H120"/>
    <mergeCell ref="H104:H109"/>
    <mergeCell ref="H90:H96"/>
    <mergeCell ref="H97:H103"/>
    <mergeCell ref="I121:I124"/>
    <mergeCell ref="I90:I96"/>
    <mergeCell ref="I110:I113"/>
    <mergeCell ref="I79:I82"/>
    <mergeCell ref="I97:I103"/>
    <mergeCell ref="I116:I120"/>
    <mergeCell ref="I104:I109"/>
    <mergeCell ref="I83:I89"/>
    <mergeCell ref="B153:B154"/>
    <mergeCell ref="A153:A154"/>
    <mergeCell ref="I125:I129"/>
    <mergeCell ref="A15:A21"/>
    <mergeCell ref="B149:B152"/>
    <mergeCell ref="A149:A152"/>
    <mergeCell ref="H149:H152"/>
    <mergeCell ref="I149:I152"/>
    <mergeCell ref="B104:B109"/>
    <mergeCell ref="A97:A103"/>
    <mergeCell ref="A83:A89"/>
    <mergeCell ref="B83:B89"/>
    <mergeCell ref="A104:A109"/>
    <mergeCell ref="B90:B96"/>
    <mergeCell ref="A90:A96"/>
    <mergeCell ref="I130:I135"/>
  </mergeCells>
  <phoneticPr fontId="12" type="noConversion"/>
  <conditionalFormatting sqref="D155">
    <cfRule type="cellIs" dxfId="3" priority="2" operator="greaterThan">
      <formula>0</formula>
    </cfRule>
  </conditionalFormatting>
  <pageMargins left="0.75" right="0.75" top="1" bottom="1" header="0.5" footer="0.5"/>
  <pageSetup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R267"/>
  <sheetViews>
    <sheetView zoomScaleNormal="100" workbookViewId="0">
      <selection activeCell="C7" sqref="C7"/>
    </sheetView>
  </sheetViews>
  <sheetFormatPr defaultColWidth="9.33203125" defaultRowHeight="12.75" x14ac:dyDescent="0.2"/>
  <cols>
    <col min="1" max="1" width="5.83203125" style="19" customWidth="1"/>
    <col min="2" max="2" width="18.83203125" style="6" customWidth="1"/>
    <col min="3" max="3" width="69.83203125" style="25" customWidth="1"/>
    <col min="4" max="6" width="6.83203125" style="577" customWidth="1"/>
    <col min="7" max="7" width="10.83203125" style="179" customWidth="1"/>
    <col min="8" max="8" width="14" style="115" customWidth="1"/>
    <col min="9" max="9" width="67.83203125" style="25" customWidth="1"/>
    <col min="10" max="10" width="6" style="574" customWidth="1"/>
    <col min="11" max="16384" width="9.33203125" style="5"/>
  </cols>
  <sheetData>
    <row r="1" spans="1:96" ht="66" customHeight="1" thickBot="1" x14ac:dyDescent="0.25">
      <c r="A1" s="1976" t="s">
        <v>2175</v>
      </c>
      <c r="B1" s="2228"/>
      <c r="C1" s="551" t="s">
        <v>525</v>
      </c>
      <c r="D1" s="72" t="s">
        <v>517</v>
      </c>
      <c r="E1" s="2134"/>
      <c r="F1" s="2135"/>
      <c r="G1" s="2135"/>
      <c r="H1" s="2135"/>
      <c r="I1" s="2136"/>
    </row>
    <row r="2" spans="1:96" s="1014" customFormat="1" ht="50.25" thickBot="1" x14ac:dyDescent="0.25">
      <c r="A2" s="1008" t="s">
        <v>78</v>
      </c>
      <c r="B2" s="1009" t="s">
        <v>701</v>
      </c>
      <c r="C2" s="1010" t="s">
        <v>866</v>
      </c>
      <c r="D2" s="1008"/>
      <c r="E2" s="1011"/>
      <c r="F2" s="1012"/>
      <c r="G2" s="1013" t="s">
        <v>710</v>
      </c>
      <c r="H2" s="1176" t="s">
        <v>2028</v>
      </c>
      <c r="I2" s="1009" t="s">
        <v>255</v>
      </c>
    </row>
    <row r="3" spans="1:96" s="1325" customFormat="1" ht="51.75" thickBot="1" x14ac:dyDescent="0.25">
      <c r="A3" s="1381" t="str">
        <f>OF!A3</f>
        <v>OF2</v>
      </c>
      <c r="B3" s="643" t="str">
        <f>OF!C3</f>
        <v>Key Wildlife Biodiversity Zone</v>
      </c>
      <c r="C3" s="447" t="s">
        <v>984</v>
      </c>
      <c r="D3" s="320"/>
      <c r="E3" s="321"/>
      <c r="F3" s="321"/>
      <c r="G3" s="502" t="str">
        <f>IF((BioDivZone=""),"",IF((BioDivZone=1),1,""))</f>
        <v/>
      </c>
      <c r="H3" s="542" t="s">
        <v>690</v>
      </c>
      <c r="I3" s="1373" t="s">
        <v>977</v>
      </c>
      <c r="J3" s="1600"/>
    </row>
    <row r="4" spans="1:96" s="1325" customFormat="1" ht="30" customHeight="1" thickBot="1" x14ac:dyDescent="0.25">
      <c r="A4" s="317" t="str">
        <f>OF!A5</f>
        <v>OF4</v>
      </c>
      <c r="B4" s="549" t="str">
        <f>OF!C5</f>
        <v>Wetland Class Richness Within 1km</v>
      </c>
      <c r="C4" s="479" t="s">
        <v>406</v>
      </c>
      <c r="D4" s="320"/>
      <c r="E4" s="321"/>
      <c r="F4" s="321"/>
      <c r="G4" s="502" t="str">
        <f>IF((ClassRich1k=""),"",ClassRich1k)</f>
        <v/>
      </c>
      <c r="H4" s="543" t="s">
        <v>806</v>
      </c>
      <c r="I4" s="840" t="s">
        <v>978</v>
      </c>
      <c r="J4" s="151"/>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940"/>
      <c r="BB4" s="940"/>
      <c r="BC4" s="940"/>
      <c r="BD4" s="940"/>
      <c r="BE4" s="940"/>
      <c r="BF4" s="940"/>
      <c r="BG4" s="940"/>
      <c r="BH4" s="940"/>
      <c r="BI4" s="940"/>
      <c r="BJ4" s="940"/>
      <c r="BK4" s="940"/>
      <c r="BL4" s="940"/>
      <c r="BM4" s="940"/>
      <c r="BN4" s="5"/>
    </row>
    <row r="5" spans="1:96" s="1325" customFormat="1" ht="30" customHeight="1" thickBot="1" x14ac:dyDescent="0.25">
      <c r="A5" s="418" t="str">
        <f>OF!A6</f>
        <v>OF5</v>
      </c>
      <c r="B5" s="548" t="str">
        <f>OF!C6</f>
        <v>Wetland Class Richness Within Wetland</v>
      </c>
      <c r="C5" s="447" t="s">
        <v>406</v>
      </c>
      <c r="D5" s="324"/>
      <c r="E5" s="325"/>
      <c r="F5" s="325"/>
      <c r="G5" s="345" t="str">
        <f>IF((ClassRichIn=""),"",ClassRichIn)</f>
        <v/>
      </c>
      <c r="H5" s="542" t="s">
        <v>685</v>
      </c>
      <c r="I5" s="1412" t="s">
        <v>916</v>
      </c>
      <c r="J5" s="141"/>
    </row>
    <row r="6" spans="1:96" s="1325" customFormat="1" ht="45" customHeight="1" thickBot="1" x14ac:dyDescent="0.25">
      <c r="A6" s="317" t="str">
        <f>OF!A7</f>
        <v>OF6</v>
      </c>
      <c r="B6" s="549" t="str">
        <f>OF!C7</f>
        <v>Distance to Nearest Annual Cropland or Developed Land</v>
      </c>
      <c r="C6" s="479" t="s">
        <v>406</v>
      </c>
      <c r="D6" s="320"/>
      <c r="E6" s="321"/>
      <c r="F6" s="321"/>
      <c r="G6" s="343" t="str">
        <f>IF((Dist2DevCrop=""),"",Dist2DevCrop)</f>
        <v/>
      </c>
      <c r="H6" s="544" t="s">
        <v>802</v>
      </c>
      <c r="I6" s="810" t="s">
        <v>979</v>
      </c>
      <c r="J6" s="1600"/>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row>
    <row r="7" spans="1:96" s="1325" customFormat="1" ht="168" customHeight="1" thickBot="1" x14ac:dyDescent="0.25">
      <c r="A7" s="540" t="str">
        <f>OF!A8</f>
        <v>OF7</v>
      </c>
      <c r="B7" s="550" t="str">
        <f>OF!C8</f>
        <v>Distance to Nearest Road (from Wetland Edge)</v>
      </c>
      <c r="C7" s="534" t="s">
        <v>406</v>
      </c>
      <c r="D7" s="535"/>
      <c r="E7" s="536"/>
      <c r="F7" s="536"/>
      <c r="G7" s="537" t="str">
        <f>IF((Dist2Road=""),"",Dist2Road)</f>
        <v/>
      </c>
      <c r="H7" s="168" t="s">
        <v>812</v>
      </c>
      <c r="I7" s="1413" t="s">
        <v>1885</v>
      </c>
      <c r="J7" s="1600"/>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row>
    <row r="8" spans="1:96" s="1325" customFormat="1" ht="114" customHeight="1" thickBot="1" x14ac:dyDescent="0.25">
      <c r="A8" s="418" t="str">
        <f>OF!A9</f>
        <v>OF8</v>
      </c>
      <c r="B8" s="548" t="str">
        <f>OF!C9</f>
        <v>Distance to Nearest Well-settled Area</v>
      </c>
      <c r="C8" s="447" t="s">
        <v>406</v>
      </c>
      <c r="D8" s="324"/>
      <c r="E8" s="325"/>
      <c r="F8" s="325"/>
      <c r="G8" s="345" t="str">
        <f>IF((DistPop=""),"",DistPop)</f>
        <v/>
      </c>
      <c r="H8" s="542" t="s">
        <v>673</v>
      </c>
      <c r="I8" s="1412" t="s">
        <v>1886</v>
      </c>
      <c r="J8" s="1600"/>
    </row>
    <row r="9" spans="1:96" s="1325" customFormat="1" ht="39" thickBot="1" x14ac:dyDescent="0.25">
      <c r="A9" s="317" t="str">
        <f>OF!A16</f>
        <v>OF15</v>
      </c>
      <c r="B9" s="549" t="str">
        <f>OF!C16</f>
        <v>Growing Degree Days</v>
      </c>
      <c r="C9" s="479" t="s">
        <v>406</v>
      </c>
      <c r="D9" s="320"/>
      <c r="E9" s="321"/>
      <c r="F9" s="321"/>
      <c r="G9" s="330" t="str">
        <f>IF((GrowDD=""),"",GrowDD)</f>
        <v/>
      </c>
      <c r="H9" s="544" t="s">
        <v>698</v>
      </c>
      <c r="I9" s="810" t="s">
        <v>980</v>
      </c>
      <c r="J9" s="1600"/>
    </row>
    <row r="10" spans="1:96" s="1325" customFormat="1" ht="360" customHeight="1" thickBot="1" x14ac:dyDescent="0.25">
      <c r="A10" s="418" t="str">
        <f>OF!A22</f>
        <v>OF21</v>
      </c>
      <c r="B10" s="548" t="str">
        <f>OF!C22</f>
        <v>% Natural Cover Within 1km</v>
      </c>
      <c r="C10" s="447" t="s">
        <v>406</v>
      </c>
      <c r="D10" s="324"/>
      <c r="E10" s="325"/>
      <c r="F10" s="325"/>
      <c r="G10" s="531" t="str">
        <f>IF((NatCov1k=""),"",NatCov1k)</f>
        <v/>
      </c>
      <c r="H10" s="545" t="s">
        <v>687</v>
      </c>
      <c r="I10" s="1374" t="s">
        <v>1887</v>
      </c>
      <c r="J10" s="151"/>
      <c r="K10" s="940"/>
      <c r="L10" s="940"/>
      <c r="M10" s="940"/>
      <c r="N10" s="940"/>
      <c r="O10" s="940"/>
      <c r="P10" s="940"/>
      <c r="Q10" s="940"/>
      <c r="R10" s="940"/>
      <c r="S10" s="940"/>
      <c r="T10" s="940"/>
      <c r="U10" s="940"/>
      <c r="V10" s="940"/>
      <c r="W10" s="940"/>
      <c r="X10" s="940"/>
      <c r="Y10" s="940"/>
      <c r="Z10" s="940"/>
      <c r="AA10" s="940"/>
      <c r="AB10" s="940"/>
      <c r="AC10" s="940"/>
      <c r="AD10" s="940"/>
      <c r="AE10" s="940"/>
      <c r="AF10" s="940"/>
      <c r="AG10" s="940"/>
      <c r="AH10" s="940"/>
      <c r="AI10" s="940"/>
      <c r="AJ10" s="940"/>
      <c r="AK10" s="940"/>
      <c r="AL10" s="940"/>
      <c r="AM10" s="940"/>
      <c r="AN10" s="940"/>
      <c r="AO10" s="940"/>
      <c r="AP10" s="940"/>
      <c r="AQ10" s="940"/>
      <c r="AR10" s="940"/>
      <c r="AS10" s="940"/>
      <c r="AT10" s="940"/>
      <c r="AU10" s="940"/>
      <c r="AV10" s="940"/>
      <c r="AW10" s="940"/>
      <c r="AX10" s="940"/>
      <c r="AY10" s="940"/>
      <c r="AZ10" s="940"/>
      <c r="BA10" s="940"/>
      <c r="BB10" s="940"/>
      <c r="BC10" s="940"/>
      <c r="BD10" s="940"/>
      <c r="BE10" s="940"/>
      <c r="BF10" s="940"/>
      <c r="BG10" s="940"/>
      <c r="BH10" s="940"/>
      <c r="BI10" s="940"/>
      <c r="BJ10" s="940"/>
      <c r="BK10" s="940"/>
      <c r="BL10" s="940"/>
      <c r="BM10" s="940"/>
      <c r="BN10" s="5"/>
    </row>
    <row r="11" spans="1:96" s="1325" customFormat="1" ht="45" customHeight="1" thickBot="1" x14ac:dyDescent="0.25">
      <c r="A11" s="317" t="str">
        <f>OF!A30</f>
        <v>OF29</v>
      </c>
      <c r="B11" s="1697" t="str">
        <f>OF!C30</f>
        <v>Sensitive Raptor Nesting Area</v>
      </c>
      <c r="C11" s="479" t="s">
        <v>896</v>
      </c>
      <c r="D11" s="1259"/>
      <c r="E11" s="1260"/>
      <c r="F11" s="1260"/>
      <c r="G11" s="809" t="str">
        <f>IF((RaptorNest=""),"",IF((RaptorNest=1),1, ""))</f>
        <v/>
      </c>
      <c r="H11" s="1698" t="s">
        <v>692</v>
      </c>
      <c r="I11" s="1699" t="s">
        <v>981</v>
      </c>
      <c r="J11" s="1600"/>
    </row>
    <row r="12" spans="1:96" s="1325" customFormat="1" ht="30" customHeight="1" thickBot="1" x14ac:dyDescent="0.25">
      <c r="A12" s="317" t="str">
        <f>OF!A32</f>
        <v>OF31</v>
      </c>
      <c r="B12" s="549" t="str">
        <f>OF!C32</f>
        <v>Road Density Within 1km Buffer</v>
      </c>
      <c r="C12" s="479"/>
      <c r="D12" s="320"/>
      <c r="E12" s="321"/>
      <c r="F12" s="321"/>
      <c r="G12" s="502" t="str">
        <f>IF((RdDens1k=""),"",RdDens1k)</f>
        <v/>
      </c>
      <c r="H12" s="546" t="s">
        <v>688</v>
      </c>
      <c r="I12" s="767" t="s">
        <v>2442</v>
      </c>
      <c r="J12" s="151"/>
      <c r="K12" s="940"/>
      <c r="L12" s="940"/>
      <c r="M12" s="940"/>
      <c r="N12" s="940"/>
      <c r="O12" s="940"/>
      <c r="P12" s="940"/>
      <c r="Q12" s="940"/>
      <c r="R12" s="940"/>
      <c r="S12" s="940"/>
      <c r="T12" s="940"/>
      <c r="U12" s="940"/>
      <c r="V12" s="940"/>
      <c r="W12" s="940"/>
      <c r="X12" s="940"/>
      <c r="Y12" s="940"/>
      <c r="Z12" s="940"/>
      <c r="AA12" s="940"/>
      <c r="AB12" s="940"/>
      <c r="AC12" s="940"/>
      <c r="AD12" s="940"/>
      <c r="AE12" s="940"/>
      <c r="AF12" s="940"/>
      <c r="AG12" s="940"/>
      <c r="AH12" s="940"/>
      <c r="AI12" s="940"/>
      <c r="AJ12" s="940"/>
      <c r="AK12" s="940"/>
      <c r="AL12" s="940"/>
      <c r="AM12" s="940"/>
      <c r="AN12" s="940"/>
      <c r="AO12" s="940"/>
      <c r="AP12" s="940"/>
      <c r="AQ12" s="940"/>
      <c r="AR12" s="940"/>
      <c r="AS12" s="940"/>
      <c r="AT12" s="940"/>
      <c r="AU12" s="940"/>
      <c r="AV12" s="940"/>
      <c r="AW12" s="940"/>
      <c r="AX12" s="940"/>
      <c r="AY12" s="940"/>
      <c r="AZ12" s="940"/>
      <c r="BA12" s="940"/>
      <c r="BB12" s="940"/>
      <c r="BC12" s="940"/>
      <c r="BD12" s="940"/>
      <c r="BE12" s="940"/>
      <c r="BF12" s="940"/>
      <c r="BG12" s="940"/>
      <c r="BH12" s="940"/>
      <c r="BI12" s="940"/>
      <c r="BJ12" s="940"/>
      <c r="BK12" s="940"/>
      <c r="BL12" s="940"/>
      <c r="BM12" s="940"/>
      <c r="BN12" s="5"/>
    </row>
    <row r="13" spans="1:96" ht="30" customHeight="1" thickBot="1" x14ac:dyDescent="0.25">
      <c r="A13" s="317" t="str">
        <f>OF!A34</f>
        <v>OF33</v>
      </c>
      <c r="B13" s="808" t="str">
        <f>OF!C34</f>
        <v>Riparian or Floodway Location</v>
      </c>
      <c r="C13" s="479" t="s">
        <v>897</v>
      </c>
      <c r="D13" s="764"/>
      <c r="E13" s="765"/>
      <c r="F13" s="765"/>
      <c r="G13" s="809" t="str">
        <f>IF((RipFloodpl=""),"",IF((RipFloodpl=1),1,""))</f>
        <v/>
      </c>
      <c r="H13" s="544" t="s">
        <v>697</v>
      </c>
      <c r="I13" s="810" t="s">
        <v>982</v>
      </c>
      <c r="J13" s="1600"/>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row>
    <row r="14" spans="1:96" ht="45" customHeight="1" thickBot="1" x14ac:dyDescent="0.25">
      <c r="A14" s="418" t="str">
        <f>OF!A41</f>
        <v>OF40</v>
      </c>
      <c r="B14" s="548" t="str">
        <f>OF!C41</f>
        <v>Local Uniqueness of Wetland's Class</v>
      </c>
      <c r="C14" s="447" t="s">
        <v>406</v>
      </c>
      <c r="D14" s="324"/>
      <c r="E14" s="325"/>
      <c r="F14" s="325"/>
      <c r="G14" s="485" t="str">
        <f>IF((UniqClass=""),"",UniqClass)</f>
        <v/>
      </c>
      <c r="H14" s="545" t="s">
        <v>799</v>
      </c>
      <c r="I14" s="1412" t="s">
        <v>983</v>
      </c>
      <c r="J14" s="1600"/>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row>
    <row r="15" spans="1:96" s="1325" customFormat="1" ht="69" customHeight="1" thickBot="1" x14ac:dyDescent="0.25">
      <c r="A15" s="317" t="str">
        <f>OF!A45</f>
        <v>OF44</v>
      </c>
      <c r="B15" s="549" t="str">
        <f>OF!C45</f>
        <v>Wetland Density Within 1km</v>
      </c>
      <c r="C15" s="479" t="s">
        <v>406</v>
      </c>
      <c r="D15" s="320"/>
      <c r="E15" s="321"/>
      <c r="F15" s="321"/>
      <c r="G15" s="538" t="str">
        <f>IF((WetDens1k=""),"",WetDens1k)</f>
        <v/>
      </c>
      <c r="H15" s="546" t="s">
        <v>661</v>
      </c>
      <c r="I15" s="840" t="s">
        <v>748</v>
      </c>
      <c r="J15" s="151"/>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0"/>
      <c r="AY15" s="940"/>
      <c r="AZ15" s="940"/>
      <c r="BA15" s="940"/>
      <c r="BB15" s="940"/>
      <c r="BC15" s="940"/>
      <c r="BD15" s="940"/>
      <c r="BE15" s="940"/>
      <c r="BF15" s="940"/>
      <c r="BG15" s="940"/>
      <c r="BH15" s="940"/>
      <c r="BI15" s="940"/>
      <c r="BJ15" s="940"/>
      <c r="BK15" s="940"/>
      <c r="BL15" s="940"/>
      <c r="BM15" s="940"/>
      <c r="BN15" s="5"/>
    </row>
    <row r="16" spans="1:96" s="1325" customFormat="1" ht="114" customHeight="1" thickBot="1" x14ac:dyDescent="0.25">
      <c r="A16" s="317" t="str">
        <f>OF!A49</f>
        <v>OF48</v>
      </c>
      <c r="B16" s="549" t="str">
        <f>OF!C49</f>
        <v>Upland Edge Index</v>
      </c>
      <c r="C16" s="479" t="s">
        <v>406</v>
      </c>
      <c r="D16" s="320"/>
      <c r="E16" s="321"/>
      <c r="F16" s="321"/>
      <c r="G16" s="330" t="str">
        <f>IF((WetPerim2Area=""),"",WetPerim2Area)</f>
        <v/>
      </c>
      <c r="H16" s="544" t="s">
        <v>657</v>
      </c>
      <c r="I16" s="810" t="s">
        <v>278</v>
      </c>
      <c r="J16" s="1600"/>
    </row>
    <row r="17" spans="1:10" s="1325" customFormat="1" ht="90.75" customHeight="1" thickBot="1" x14ac:dyDescent="0.25">
      <c r="A17" s="418" t="str">
        <f>OF!A50</f>
        <v>OF49</v>
      </c>
      <c r="B17" s="1341" t="str">
        <f>OF!C50</f>
        <v>Wetland Vegetated Area (in hectares)</v>
      </c>
      <c r="C17" s="1371" t="s">
        <v>406</v>
      </c>
      <c r="D17" s="413"/>
      <c r="E17" s="325"/>
      <c r="F17" s="325"/>
      <c r="G17" s="345" t="str">
        <f>IF((WetVegArea=""),"",WetVegArea)</f>
        <v/>
      </c>
      <c r="H17" s="547" t="s">
        <v>656</v>
      </c>
      <c r="I17" s="1412" t="s">
        <v>1888</v>
      </c>
      <c r="J17" s="141"/>
    </row>
    <row r="18" spans="1:10" s="1325" customFormat="1" ht="30" customHeight="1" thickBot="1" x14ac:dyDescent="0.25">
      <c r="A18" s="317" t="str">
        <f>OF!A53</f>
        <v>OF52</v>
      </c>
      <c r="B18" s="317" t="str">
        <f>OF!B53</f>
        <v>CaribouRange</v>
      </c>
      <c r="C18" s="1343"/>
      <c r="D18" s="414"/>
      <c r="E18" s="765"/>
      <c r="F18" s="765"/>
      <c r="G18" s="809" t="str">
        <f>IF((CaribouRange=""),"",CaribouRange)</f>
        <v/>
      </c>
      <c r="H18" s="797" t="s">
        <v>2038</v>
      </c>
      <c r="I18" s="455" t="s">
        <v>2406</v>
      </c>
      <c r="J18" s="141"/>
    </row>
    <row r="19" spans="1:10" s="1325" customFormat="1" ht="30" customHeight="1" thickBot="1" x14ac:dyDescent="0.25">
      <c r="A19" s="317" t="str">
        <f>OF!A54</f>
        <v>OF53</v>
      </c>
      <c r="B19" s="400" t="str">
        <f>OF!B54</f>
        <v>CaribouFound</v>
      </c>
      <c r="C19" s="1371"/>
      <c r="D19" s="1342"/>
      <c r="E19" s="401"/>
      <c r="F19" s="401"/>
      <c r="G19" s="402" t="str">
        <f>IF((CaribouFound=""),"", CaribouFound)</f>
        <v/>
      </c>
      <c r="H19" s="1414" t="s">
        <v>2039</v>
      </c>
      <c r="I19" s="1195" t="s">
        <v>2221</v>
      </c>
      <c r="J19" s="141"/>
    </row>
    <row r="20" spans="1:10" s="1325" customFormat="1" ht="30" customHeight="1" thickBot="1" x14ac:dyDescent="0.25">
      <c r="A20" s="317" t="str">
        <f>OF!A55</f>
        <v>OF54</v>
      </c>
      <c r="B20" s="317" t="s">
        <v>2411</v>
      </c>
      <c r="C20" s="1343"/>
      <c r="D20" s="1342"/>
      <c r="E20" s="401"/>
      <c r="F20" s="401"/>
      <c r="G20" s="1348"/>
      <c r="H20" s="1414" t="s">
        <v>2410</v>
      </c>
      <c r="I20" s="1500" t="s">
        <v>2412</v>
      </c>
      <c r="J20" s="141"/>
    </row>
    <row r="21" spans="1:10" s="1347" customFormat="1" ht="93" customHeight="1" thickBot="1" x14ac:dyDescent="0.25">
      <c r="A21" s="1345" t="str">
        <f>OF!A57</f>
        <v>OF56</v>
      </c>
      <c r="B21" s="1349" t="s">
        <v>2027</v>
      </c>
      <c r="C21" s="1418"/>
      <c r="D21" s="1473"/>
      <c r="E21" s="1474"/>
      <c r="F21" s="1474"/>
      <c r="G21" s="1714" t="str">
        <f>IF((Linear=""),"",Linear)</f>
        <v/>
      </c>
      <c r="H21" s="1195" t="s">
        <v>2002</v>
      </c>
      <c r="I21" s="1501" t="s">
        <v>2413</v>
      </c>
      <c r="J21" s="1346"/>
    </row>
    <row r="22" spans="1:10" s="1007" customFormat="1" ht="66.75" thickBot="1" x14ac:dyDescent="0.35">
      <c r="A22" s="997" t="s">
        <v>78</v>
      </c>
      <c r="B22" s="1326" t="s">
        <v>709</v>
      </c>
      <c r="C22" s="1344" t="s">
        <v>708</v>
      </c>
      <c r="D22" s="1327" t="s">
        <v>33</v>
      </c>
      <c r="E22" s="1328" t="s">
        <v>1131</v>
      </c>
      <c r="F22" s="1329" t="s">
        <v>1130</v>
      </c>
      <c r="G22" s="1330" t="s">
        <v>710</v>
      </c>
      <c r="H22" s="1331" t="s">
        <v>2028</v>
      </c>
      <c r="I22" s="1005" t="s">
        <v>917</v>
      </c>
      <c r="J22" s="1006"/>
    </row>
    <row r="23" spans="1:10" s="940" customFormat="1" ht="18.75" customHeight="1" thickBot="1" x14ac:dyDescent="0.25">
      <c r="A23" s="1992" t="str">
        <f>F!A5</f>
        <v>F1</v>
      </c>
      <c r="B23" s="2073" t="str">
        <f>F!B5</f>
        <v>Wetland Type - Predominant</v>
      </c>
      <c r="C23" s="1235" t="str">
        <f>F!C5</f>
        <v>Follow the key below and mark the ONE row that best describes MOST of the AA:</v>
      </c>
      <c r="D23" s="774"/>
      <c r="E23" s="368"/>
      <c r="F23" s="368"/>
      <c r="G23" s="225">
        <f>MAX(F24:F29)/MAX(E24:E29)</f>
        <v>0</v>
      </c>
      <c r="H23" s="2027" t="s">
        <v>749</v>
      </c>
      <c r="I23" s="2120" t="s">
        <v>2443</v>
      </c>
      <c r="J23" s="573"/>
    </row>
    <row r="24" spans="1:10" s="940" customFormat="1" ht="38.25" x14ac:dyDescent="0.2">
      <c r="A24" s="2222"/>
      <c r="B24" s="2229"/>
      <c r="C24" s="768" t="str">
        <f>F!C6</f>
        <v>A. Moss and/or lichen cover more than 25% of the ground. Substrate is mostly undecomposed peat. Choose between A1 and A2 and mark the choice with a 1 in their adjoining column. Otherwise go to B below.</v>
      </c>
      <c r="D24" s="760"/>
      <c r="E24" s="760"/>
      <c r="F24" s="760"/>
      <c r="G24" s="760"/>
      <c r="H24" s="2028"/>
      <c r="I24" s="1987"/>
      <c r="J24" s="573"/>
    </row>
    <row r="25" spans="1:10" s="940" customFormat="1" ht="89.25" x14ac:dyDescent="0.2">
      <c r="A25" s="2222"/>
      <c r="B25" s="2229"/>
      <c r="C25" s="813" t="str">
        <f>F!C7</f>
        <v xml:space="preserve">   A1. Surface water is usually absent or, if present, pH is typically &lt;4.5 and conductivity is &lt;100 µS/cm (about 64 ppm TDS).  Often dominated by ericaceous shrubs (e.g., Labrador tea, lingonberry), sometimes with pitcher plant, sundew. Sedge cover usually sparse or absent. Trees, if present, are mainly limited to black spruce.  Wetland surface is never sloping, except sometimes from wetland center towards outer edges (convex), and surrounding landscape is flat.  Inlet and outlet channels are usually absent.</v>
      </c>
      <c r="D25" s="737">
        <f>F!D7</f>
        <v>0</v>
      </c>
      <c r="E25" s="1475">
        <v>0.01</v>
      </c>
      <c r="F25" s="722">
        <f t="shared" ref="F25:F29" si="0">D25*E25</f>
        <v>0</v>
      </c>
      <c r="G25" s="760"/>
      <c r="H25" s="2028"/>
      <c r="I25" s="1987"/>
      <c r="J25" s="573"/>
    </row>
    <row r="26" spans="1:10" s="940" customFormat="1" ht="63.75" x14ac:dyDescent="0.2">
      <c r="A26" s="2222"/>
      <c r="B26" s="2229"/>
      <c r="C26" s="813" t="str">
        <f>F!C8</f>
        <v xml:space="preserve">   A2. Not A1. Surface water, if present, has pH typically &gt;4.5 and conductivity is &gt;100 µS/cm.  Sedges and/or cottongrass often dominate the ground cover, while ericaceous shrubs and black spruce may also be present. Sometimes at toe of slope or edge of water body. An exit channel is usually present. Wetter than A1, often with many small persistent pools.</v>
      </c>
      <c r="D26" s="737">
        <f>F!D8</f>
        <v>0</v>
      </c>
      <c r="E26" s="1475">
        <v>0.51</v>
      </c>
      <c r="F26" s="722">
        <f t="shared" si="0"/>
        <v>0</v>
      </c>
      <c r="G26" s="760"/>
      <c r="H26" s="2028"/>
      <c r="I26" s="1987"/>
      <c r="J26" s="573"/>
    </row>
    <row r="27" spans="1:10" s="940" customFormat="1" ht="38.25" x14ac:dyDescent="0.2">
      <c r="A27" s="2222"/>
      <c r="B27" s="2229"/>
      <c r="C27" s="813" t="str">
        <f>F!C9</f>
        <v>B. Moss and/or lichen cover less than 25% of the ground. Soil is mineral or decomposed organic (muck). Choose between B1 and B2 and mark the choice with a 1 in their adjoining column:</v>
      </c>
      <c r="D27" s="760"/>
      <c r="E27" s="760"/>
      <c r="F27" s="760"/>
      <c r="G27" s="760"/>
      <c r="H27" s="2028"/>
      <c r="I27" s="1987"/>
      <c r="J27" s="573"/>
    </row>
    <row r="28" spans="1:10" s="940" customFormat="1" ht="51" x14ac:dyDescent="0.2">
      <c r="A28" s="2222"/>
      <c r="B28" s="2229"/>
      <c r="C28" s="813" t="str">
        <f>F!C10</f>
        <v xml:space="preserve">   B1. Trees and shrubs taller than 1 m comprise more than 25% of the vegetated cover. Surface water is mostly absent or inundates the vegetation only seasonally (e.g., snowmelt pools or floodplain).  Often in riparian settings, abandoned beaver flowages.</v>
      </c>
      <c r="D28" s="737">
        <f>F!D10</f>
        <v>0</v>
      </c>
      <c r="E28" s="1475">
        <v>1</v>
      </c>
      <c r="F28" s="722">
        <f t="shared" si="0"/>
        <v>0</v>
      </c>
      <c r="G28" s="760"/>
      <c r="H28" s="2028"/>
      <c r="I28" s="1987"/>
      <c r="J28" s="573"/>
    </row>
    <row r="29" spans="1:10" s="940" customFormat="1" ht="77.25" thickBot="1" x14ac:dyDescent="0.25">
      <c r="A29" s="2223"/>
      <c r="B29" s="2230"/>
      <c r="C29" s="340" t="str">
        <f>F!C11</f>
        <v xml:space="preserve">   B2. Not B1.  Tree &amp; tall shrubs taller than 1 m comprise less than 25% of the vegetated cover. Vegetation is mostly herbaceous, e.g., cattail, bulrush, burreed, pond lily, horsetail.  Often in depressions (potholes, created ponds), or along lakes and rivers, or where fill has blocked water movement causing prolonged flooding of wetlands formerly covered by moss.  Surface water often fluctuates widely among seasons and years.</v>
      </c>
      <c r="D29" s="81">
        <f>F!D11</f>
        <v>0</v>
      </c>
      <c r="E29" s="1476">
        <v>0.57999999999999996</v>
      </c>
      <c r="F29" s="244">
        <f t="shared" si="0"/>
        <v>0</v>
      </c>
      <c r="G29" s="237"/>
      <c r="H29" s="2029"/>
      <c r="I29" s="1988"/>
      <c r="J29" s="573"/>
    </row>
    <row r="30" spans="1:10" s="940" customFormat="1" ht="54.75" customHeight="1" thickBot="1" x14ac:dyDescent="0.25">
      <c r="A30" s="2035" t="str">
        <f>F!A12</f>
        <v>F2</v>
      </c>
      <c r="B30" s="2028" t="str">
        <f>F!B12</f>
        <v>Wetland Types - Subordinate</v>
      </c>
      <c r="C30" s="1380" t="str">
        <f>F!C12</f>
        <v>If the AA is smaller than 1 ha, mark all other types that occupy more than 1% of the vegetated AA.  If the AA is larger than 1 ha, mark all other types which adjoin directly (are contiguous with) the AA and occupy more than 1 ha, as visible from the AA or as interpreted from aerial imagery.  Do not mark again the type marked in F1.</v>
      </c>
      <c r="D30" s="801"/>
      <c r="E30" s="801"/>
      <c r="F30" s="206"/>
      <c r="G30" s="219">
        <f>IF((D35=1),"",(SUM(D31:D34))/3)</f>
        <v>0</v>
      </c>
      <c r="H30" s="2028" t="s">
        <v>813</v>
      </c>
      <c r="I30" s="1987" t="s">
        <v>2407</v>
      </c>
      <c r="J30" s="573"/>
    </row>
    <row r="31" spans="1:10" s="940" customFormat="1" ht="15" customHeight="1" x14ac:dyDescent="0.2">
      <c r="A31" s="2035"/>
      <c r="B31" s="2028"/>
      <c r="C31" s="327" t="str">
        <f>F!C13</f>
        <v>A1</v>
      </c>
      <c r="D31" s="359">
        <f>F!D13</f>
        <v>0</v>
      </c>
      <c r="E31" s="748"/>
      <c r="F31" s="748"/>
      <c r="G31" s="760"/>
      <c r="H31" s="2028"/>
      <c r="I31" s="1987"/>
      <c r="J31" s="573"/>
    </row>
    <row r="32" spans="1:10" s="940" customFormat="1" ht="15" customHeight="1" x14ac:dyDescent="0.2">
      <c r="A32" s="2035"/>
      <c r="B32" s="2028"/>
      <c r="C32" s="342" t="str">
        <f>F!C14</f>
        <v>A2</v>
      </c>
      <c r="D32" s="359">
        <f>F!D14</f>
        <v>0</v>
      </c>
      <c r="E32" s="748"/>
      <c r="F32" s="748"/>
      <c r="G32" s="760"/>
      <c r="H32" s="2028"/>
      <c r="I32" s="1987"/>
      <c r="J32" s="573"/>
    </row>
    <row r="33" spans="1:10" s="940" customFormat="1" ht="15" customHeight="1" x14ac:dyDescent="0.2">
      <c r="A33" s="2035"/>
      <c r="B33" s="2028"/>
      <c r="C33" s="342" t="str">
        <f>F!C15</f>
        <v>B1</v>
      </c>
      <c r="D33" s="359">
        <f>F!D15</f>
        <v>0</v>
      </c>
      <c r="E33" s="748"/>
      <c r="F33" s="748"/>
      <c r="G33" s="760"/>
      <c r="H33" s="2028"/>
      <c r="I33" s="1987"/>
      <c r="J33" s="573"/>
    </row>
    <row r="34" spans="1:10" s="940" customFormat="1" ht="15" customHeight="1" x14ac:dyDescent="0.2">
      <c r="A34" s="2035"/>
      <c r="B34" s="2028"/>
      <c r="C34" s="342" t="str">
        <f>F!C16</f>
        <v>B2</v>
      </c>
      <c r="D34" s="359">
        <f>F!D16</f>
        <v>0</v>
      </c>
      <c r="E34" s="748"/>
      <c r="F34" s="748"/>
      <c r="G34" s="760"/>
      <c r="H34" s="2028"/>
      <c r="I34" s="1987"/>
      <c r="J34" s="573"/>
    </row>
    <row r="35" spans="1:10" s="940" customFormat="1" ht="15" customHeight="1" thickBot="1" x14ac:dyDescent="0.25">
      <c r="A35" s="2037"/>
      <c r="B35" s="2029"/>
      <c r="C35" s="340" t="str">
        <f>F!C17</f>
        <v>no types other than the predominant one in F1 meet the stated conditions.</v>
      </c>
      <c r="D35" s="81">
        <f>F!D17</f>
        <v>0</v>
      </c>
      <c r="E35" s="1089"/>
      <c r="F35" s="890"/>
      <c r="G35" s="237"/>
      <c r="H35" s="2029"/>
      <c r="I35" s="1988"/>
      <c r="J35" s="573"/>
    </row>
    <row r="36" spans="1:10" ht="45" customHeight="1" thickBot="1" x14ac:dyDescent="0.25">
      <c r="A36" s="2231" t="str">
        <f>F!A18</f>
        <v>F3</v>
      </c>
      <c r="B36" s="2148" t="str">
        <f>F!B18</f>
        <v>Woody Cover by Height</v>
      </c>
      <c r="C36" s="77" t="str">
        <f>F!C18</f>
        <v>Following EACH row below, indicate with a number code the percentage of the of the living vegetation in the AA occupied by that feature (5 if &gt;75%,   4 if 50-75%,   3 if 25-50%,   2 if 5-25%,   1 if &lt;5%, 0 if none).  If the AA has no trees or shrubs, SKIP to F8.</v>
      </c>
      <c r="D36" s="238"/>
      <c r="E36" s="239"/>
      <c r="F36" s="239"/>
      <c r="G36" s="358" t="str">
        <f>IF((SUM(D37:D42)=0),"",COUNTIF(D37:D42,"&gt;1")/6)</f>
        <v/>
      </c>
      <c r="H36" s="2027" t="s">
        <v>145</v>
      </c>
      <c r="I36" s="1987" t="s">
        <v>2033</v>
      </c>
    </row>
    <row r="37" spans="1:10" ht="15" customHeight="1" x14ac:dyDescent="0.2">
      <c r="A37" s="2231"/>
      <c r="B37" s="2148"/>
      <c r="C37" s="327" t="str">
        <f>F!C19</f>
        <v>coniferous trees (including tamarack) taller than 3 m.</v>
      </c>
      <c r="D37" s="1477">
        <f>F!D19</f>
        <v>0</v>
      </c>
      <c r="E37" s="1478"/>
      <c r="F37" s="241"/>
      <c r="G37" s="775"/>
      <c r="H37" s="2028"/>
      <c r="I37" s="1987"/>
    </row>
    <row r="38" spans="1:10" ht="15" customHeight="1" x14ac:dyDescent="0.2">
      <c r="A38" s="2231"/>
      <c r="B38" s="2148"/>
      <c r="C38" s="327" t="str">
        <f>F!C20</f>
        <v>deciduous trees taller than 3 m.</v>
      </c>
      <c r="D38" s="1477">
        <f>F!D20</f>
        <v>0</v>
      </c>
      <c r="E38" s="1478"/>
      <c r="F38" s="241"/>
      <c r="G38" s="775"/>
      <c r="H38" s="2028"/>
      <c r="I38" s="1987"/>
    </row>
    <row r="39" spans="1:10" ht="25.5" x14ac:dyDescent="0.2">
      <c r="A39" s="2231"/>
      <c r="B39" s="2148"/>
      <c r="C39" s="327" t="str">
        <f>F!C21</f>
        <v>coniferous or ericaceous shrubs or trees 1-3 m tall not directly below the canopy of trees.</v>
      </c>
      <c r="D39" s="1477">
        <f>F!D21</f>
        <v>0</v>
      </c>
      <c r="E39" s="1478"/>
      <c r="F39" s="241"/>
      <c r="G39" s="775"/>
      <c r="H39" s="2028"/>
      <c r="I39" s="1987"/>
    </row>
    <row r="40" spans="1:10" ht="27" customHeight="1" x14ac:dyDescent="0.2">
      <c r="A40" s="2231"/>
      <c r="B40" s="2148"/>
      <c r="C40" s="327" t="str">
        <f>F!C22</f>
        <v>deciduous shrubs or trees 1-3 m tall not directly below the canopy of trees &gt;3 m (e.g., deciduous saplings).</v>
      </c>
      <c r="D40" s="1477">
        <f>F!D22</f>
        <v>0</v>
      </c>
      <c r="E40" s="722"/>
      <c r="F40" s="722"/>
      <c r="G40" s="775"/>
      <c r="H40" s="2028"/>
      <c r="I40" s="1987"/>
    </row>
    <row r="41" spans="1:10" ht="25.5" x14ac:dyDescent="0.2">
      <c r="A41" s="2231"/>
      <c r="B41" s="2148"/>
      <c r="C41" s="327" t="str">
        <f>F!C23</f>
        <v>coniferous or ericaceous shrubs or trees &lt;1 m tall not directly below the canopy of taller vegetation.</v>
      </c>
      <c r="D41" s="1477">
        <f>F!D23</f>
        <v>0</v>
      </c>
      <c r="E41" s="1478"/>
      <c r="F41" s="241"/>
      <c r="G41" s="775"/>
      <c r="H41" s="2028"/>
      <c r="I41" s="1987"/>
    </row>
    <row r="42" spans="1:10" ht="15" customHeight="1" thickBot="1" x14ac:dyDescent="0.25">
      <c r="A42" s="2231"/>
      <c r="B42" s="2148"/>
      <c r="C42" s="327" t="str">
        <f>F!C24</f>
        <v>deciduous shrubs or trees &lt;1 m tall (e.g., deciduous seedlings).</v>
      </c>
      <c r="D42" s="1477">
        <f>F!D24</f>
        <v>0</v>
      </c>
      <c r="E42" s="380"/>
      <c r="F42" s="380"/>
      <c r="G42" s="721"/>
      <c r="H42" s="2029"/>
      <c r="I42" s="1987"/>
    </row>
    <row r="43" spans="1:10" ht="39" thickBot="1" x14ac:dyDescent="0.25">
      <c r="A43" s="1992" t="str">
        <f>F!A25</f>
        <v>F4</v>
      </c>
      <c r="B43" s="2073" t="str">
        <f>F!B25</f>
        <v>Woody Diameter Classes</v>
      </c>
      <c r="C43" s="421" t="str">
        <f>F!C25</f>
        <v>Mark all the diameter classes of woody plants within the AA, but only IF they comprise &gt;5% of the woody canopy or subcanopy within the AA.  Do not count trees that adjoin but are not within the AA.</v>
      </c>
      <c r="D43" s="581"/>
      <c r="E43" s="376"/>
      <c r="F43" s="262"/>
      <c r="G43" s="225" t="str">
        <f>IF((SUM(F!D19:D24)=0),"",IF((SUM(F!D19:D20)=0),"",((SUM(D44:D51)/8+ MAX(F44:F51)/MAX(E44:E51))/2)))</f>
        <v/>
      </c>
      <c r="H43" s="2027" t="s">
        <v>560</v>
      </c>
      <c r="I43" s="2120" t="s">
        <v>1256</v>
      </c>
    </row>
    <row r="44" spans="1:10" ht="15" customHeight="1" x14ac:dyDescent="0.2">
      <c r="A44" s="2222"/>
      <c r="B44" s="2224"/>
      <c r="C44" s="406" t="str">
        <f>F!C26</f>
        <v>coniferous, 1-9 cm diameter and &gt;1 m tall.</v>
      </c>
      <c r="D44" s="442">
        <f>F!D26</f>
        <v>0</v>
      </c>
      <c r="E44" s="377">
        <v>1</v>
      </c>
      <c r="F44" s="377">
        <f t="shared" ref="F44:F51" si="1">D44*E44</f>
        <v>0</v>
      </c>
      <c r="G44" s="202"/>
      <c r="H44" s="2028"/>
      <c r="I44" s="1987"/>
    </row>
    <row r="45" spans="1:10" ht="15" customHeight="1" x14ac:dyDescent="0.2">
      <c r="A45" s="2222"/>
      <c r="B45" s="2224"/>
      <c r="C45" s="339" t="str">
        <f>F!C27</f>
        <v>broad-leaved deciduous 1-9 cm diameter and &gt;1 m tall.</v>
      </c>
      <c r="D45" s="356">
        <f>F!D27</f>
        <v>0</v>
      </c>
      <c r="E45" s="377">
        <v>3</v>
      </c>
      <c r="F45" s="377">
        <f t="shared" si="1"/>
        <v>0</v>
      </c>
      <c r="G45" s="775"/>
      <c r="H45" s="2028"/>
      <c r="I45" s="1987"/>
    </row>
    <row r="46" spans="1:10" ht="15" customHeight="1" x14ac:dyDescent="0.2">
      <c r="A46" s="2222"/>
      <c r="B46" s="2224"/>
      <c r="C46" s="339" t="str">
        <f>F!C28</f>
        <v>coniferous, 10-19 cm diameter.</v>
      </c>
      <c r="D46" s="356">
        <f>F!D28</f>
        <v>0</v>
      </c>
      <c r="E46" s="377">
        <v>2</v>
      </c>
      <c r="F46" s="377">
        <f t="shared" si="1"/>
        <v>0</v>
      </c>
      <c r="G46" s="775"/>
      <c r="H46" s="2028"/>
      <c r="I46" s="1987"/>
    </row>
    <row r="47" spans="1:10" ht="15" customHeight="1" x14ac:dyDescent="0.2">
      <c r="A47" s="2222"/>
      <c r="B47" s="2224"/>
      <c r="C47" s="339" t="str">
        <f>F!C29</f>
        <v>broad-leaved deciduous 10-19 cm diameter.</v>
      </c>
      <c r="D47" s="356">
        <f>F!D29</f>
        <v>0</v>
      </c>
      <c r="E47" s="377">
        <v>4</v>
      </c>
      <c r="F47" s="377">
        <f t="shared" si="1"/>
        <v>0</v>
      </c>
      <c r="G47" s="775"/>
      <c r="H47" s="2028"/>
      <c r="I47" s="1987"/>
    </row>
    <row r="48" spans="1:10" ht="15" customHeight="1" x14ac:dyDescent="0.2">
      <c r="A48" s="2222"/>
      <c r="B48" s="2224"/>
      <c r="C48" s="339" t="str">
        <f>F!C30</f>
        <v>coniferous, 20-40 cm diameter.</v>
      </c>
      <c r="D48" s="356">
        <f>F!D30</f>
        <v>0</v>
      </c>
      <c r="E48" s="377">
        <v>3</v>
      </c>
      <c r="F48" s="377">
        <f t="shared" si="1"/>
        <v>0</v>
      </c>
      <c r="G48" s="775"/>
      <c r="H48" s="2028"/>
      <c r="I48" s="1987"/>
    </row>
    <row r="49" spans="1:9" ht="15" customHeight="1" x14ac:dyDescent="0.2">
      <c r="A49" s="2222"/>
      <c r="B49" s="2224"/>
      <c r="C49" s="339" t="str">
        <f>F!C31</f>
        <v>broad-leaved deciduous 20-40 cm diameter.</v>
      </c>
      <c r="D49" s="356">
        <f>F!D31</f>
        <v>0</v>
      </c>
      <c r="E49" s="377">
        <v>6</v>
      </c>
      <c r="F49" s="377">
        <f t="shared" si="1"/>
        <v>0</v>
      </c>
      <c r="G49" s="775"/>
      <c r="H49" s="2028"/>
      <c r="I49" s="1987"/>
    </row>
    <row r="50" spans="1:9" ht="15" customHeight="1" x14ac:dyDescent="0.2">
      <c r="A50" s="2222"/>
      <c r="B50" s="2224"/>
      <c r="C50" s="339" t="str">
        <f>F!C32</f>
        <v>coniferous, &gt;40 cm diameter.</v>
      </c>
      <c r="D50" s="356">
        <f>F!D32</f>
        <v>0</v>
      </c>
      <c r="E50" s="377">
        <v>5</v>
      </c>
      <c r="F50" s="377">
        <f t="shared" si="1"/>
        <v>0</v>
      </c>
      <c r="G50" s="775"/>
      <c r="H50" s="2028"/>
      <c r="I50" s="1987"/>
    </row>
    <row r="51" spans="1:9" ht="15" customHeight="1" thickBot="1" x14ac:dyDescent="0.25">
      <c r="A51" s="2222"/>
      <c r="B51" s="2224"/>
      <c r="C51" s="854" t="str">
        <f>F!C33</f>
        <v>broad-leaved deciduous &gt;40 cm diameter.</v>
      </c>
      <c r="D51" s="356">
        <f>F!D33</f>
        <v>0</v>
      </c>
      <c r="E51" s="380">
        <v>8</v>
      </c>
      <c r="F51" s="380">
        <f t="shared" si="1"/>
        <v>0</v>
      </c>
      <c r="G51" s="721"/>
      <c r="H51" s="2028"/>
      <c r="I51" s="1987"/>
    </row>
    <row r="52" spans="1:9" ht="21" customHeight="1" thickBot="1" x14ac:dyDescent="0.25">
      <c r="A52" s="1992" t="str">
        <f>F!A34</f>
        <v>F5</v>
      </c>
      <c r="B52" s="2073" t="str">
        <f>F!B34</f>
        <v>Interspersion of Tall and Short Vegetation</v>
      </c>
      <c r="C52" s="421" t="str">
        <f>F!C34</f>
        <v>Follow the key below and mark the ONE row that best describes MOST of the AA:</v>
      </c>
      <c r="D52" s="581"/>
      <c r="E52" s="376"/>
      <c r="F52" s="262"/>
      <c r="G52" s="225">
        <f>MAX(F53:F56)/MAX(E53:E56)</f>
        <v>0</v>
      </c>
      <c r="H52" s="2027" t="s">
        <v>804</v>
      </c>
      <c r="I52" s="2120" t="s">
        <v>625</v>
      </c>
    </row>
    <row r="53" spans="1:9" ht="51" x14ac:dyDescent="0.2">
      <c r="A53" s="2222"/>
      <c r="B53" s="2224"/>
      <c r="C53" s="406" t="str">
        <f>F!C35</f>
        <v>A. Neither the vegetation taller than 1m nor the vegetation shorter than that comprise &gt;70% of the vegetated part of the AA. They each comprise 30-70%.  If false, go to B below.  Otherwise choose between A1 and A2 and mark the choice with a 1 in the adjoining column:</v>
      </c>
      <c r="D53" s="442">
        <f>F!D35</f>
        <v>0</v>
      </c>
      <c r="E53" s="239">
        <v>3</v>
      </c>
      <c r="F53" s="377">
        <f>D53*E53</f>
        <v>0</v>
      </c>
      <c r="G53" s="202"/>
      <c r="H53" s="2028"/>
      <c r="I53" s="1987"/>
    </row>
    <row r="54" spans="1:9" ht="42" customHeight="1" x14ac:dyDescent="0.2">
      <c r="A54" s="2222"/>
      <c r="B54" s="2224"/>
      <c r="C54" s="339" t="str">
        <f>F!C38</f>
        <v>B. Either the vegetation taller than 1m or the vegetation shorter than 1m comprise &gt;70% of the vegetated part of the AA.  One size class might even be totally absent.  Choose between B1 and B2 and mark the choice with a 1 in the adjoining column:</v>
      </c>
      <c r="D54" s="356">
        <f>F!D38</f>
        <v>0</v>
      </c>
      <c r="E54" s="377">
        <v>2</v>
      </c>
      <c r="F54" s="377">
        <f>D54*E54</f>
        <v>0</v>
      </c>
      <c r="G54" s="202"/>
      <c r="H54" s="2028"/>
      <c r="I54" s="1987"/>
    </row>
    <row r="55" spans="1:9" ht="25.5" x14ac:dyDescent="0.2">
      <c r="A55" s="2222"/>
      <c r="B55" s="2224"/>
      <c r="C55" s="339" t="str">
        <f>F!C39</f>
        <v xml:space="preserve">   B1. The less prevalent height class is mostly scattered and intermixed within the prevalent one.</v>
      </c>
      <c r="D55" s="356">
        <f>F!D39</f>
        <v>0</v>
      </c>
      <c r="E55" s="377">
        <v>1</v>
      </c>
      <c r="F55" s="377">
        <f>D55*E55</f>
        <v>0</v>
      </c>
      <c r="G55" s="775"/>
      <c r="H55" s="2028"/>
      <c r="I55" s="1987"/>
    </row>
    <row r="56" spans="1:9" ht="29.25" customHeight="1" thickBot="1" x14ac:dyDescent="0.25">
      <c r="A56" s="2223"/>
      <c r="B56" s="2225"/>
      <c r="C56" s="340" t="str">
        <f>F!C40</f>
        <v xml:space="preserve">   B2. Not B1.  The less prevalent height class is mostly located apart from the prevalent one, in separate zones or clumps, or is completely absent</v>
      </c>
      <c r="D56" s="81">
        <f>F!D40</f>
        <v>0</v>
      </c>
      <c r="E56" s="244">
        <v>0</v>
      </c>
      <c r="F56" s="244">
        <f>D56*E56</f>
        <v>0</v>
      </c>
      <c r="G56" s="258"/>
      <c r="H56" s="2029"/>
      <c r="I56" s="1988"/>
    </row>
    <row r="57" spans="1:9" ht="45" customHeight="1" thickBot="1" x14ac:dyDescent="0.25">
      <c r="A57" s="2075" t="str">
        <f>F!A41</f>
        <v>F6</v>
      </c>
      <c r="B57" s="2053" t="str">
        <f>F!B41</f>
        <v>Downed Wood</v>
      </c>
      <c r="C57" s="1399" t="str">
        <f>F!C41</f>
        <v>If trees taller than 3 m comprise &lt;5% of the vegetative cover, SKIP to F10 (Sphagnum Moss Extent). Otherwise, answer this: The number of downed wood pieces longer than 2 m and with diameter &gt;5 cm, and not persistently submerged, is:</v>
      </c>
      <c r="D57" s="238"/>
      <c r="E57" s="239"/>
      <c r="F57" s="259"/>
      <c r="G57" s="219" t="str">
        <f>IF((SUM(F!D19:D24)=0),"",IF((SUM(F!D19:D20)=0),"", MAX(F58:F59)))</f>
        <v/>
      </c>
      <c r="H57" s="2028" t="s">
        <v>146</v>
      </c>
      <c r="I57" s="1987" t="s">
        <v>1202</v>
      </c>
    </row>
    <row r="58" spans="1:9" ht="15" customHeight="1" x14ac:dyDescent="0.2">
      <c r="A58" s="2226"/>
      <c r="B58" s="2224"/>
      <c r="C58" s="406" t="str">
        <f>F!C42</f>
        <v>Several (&gt;5 if AA is &gt;5 hectares, less for smaller AAs).</v>
      </c>
      <c r="D58" s="442">
        <f>F!D42</f>
        <v>0</v>
      </c>
      <c r="E58" s="241">
        <v>1</v>
      </c>
      <c r="F58" s="241">
        <f>D58*E58</f>
        <v>0</v>
      </c>
      <c r="G58" s="202"/>
      <c r="H58" s="2028"/>
      <c r="I58" s="1987"/>
    </row>
    <row r="59" spans="1:9" ht="17.25" customHeight="1" thickBot="1" x14ac:dyDescent="0.25">
      <c r="A59" s="2226"/>
      <c r="B59" s="2224"/>
      <c r="C59" s="854" t="str">
        <f>F!C43</f>
        <v>Few or none that meet these criteria.</v>
      </c>
      <c r="D59" s="356">
        <f>F!D43</f>
        <v>0</v>
      </c>
      <c r="E59" s="380">
        <v>0</v>
      </c>
      <c r="F59" s="380">
        <f>D59*E59</f>
        <v>0</v>
      </c>
      <c r="G59" s="721"/>
      <c r="H59" s="2028"/>
      <c r="I59" s="1987"/>
    </row>
    <row r="60" spans="1:9" ht="45" customHeight="1" thickBot="1" x14ac:dyDescent="0.25">
      <c r="A60" s="1992" t="str">
        <f>F!A44</f>
        <v>F7</v>
      </c>
      <c r="B60" s="2073" t="str">
        <f>F!B44</f>
        <v xml:space="preserve">Dominance of Most Abundant Shrub Species </v>
      </c>
      <c r="C60" s="421" t="str">
        <f>F!C44</f>
        <v>If shrubs shorter than 3 m comprise &lt;5% of the vegetative cover, proceed to next question. Otherwise, determine which two native shrub species (&lt;3 m tall) comprise the greatest portion of the native shrub cover. Then choose one of the following:</v>
      </c>
      <c r="D60" s="777"/>
      <c r="E60" s="376"/>
      <c r="F60" s="262"/>
      <c r="G60" s="225" t="str">
        <f>IF((SUM(D39:D42)=0),"",MAX(F61:F62)/MAX(E61:E62))</f>
        <v/>
      </c>
      <c r="H60" s="2027" t="s">
        <v>155</v>
      </c>
      <c r="I60" s="2120" t="s">
        <v>1203</v>
      </c>
    </row>
    <row r="61" spans="1:9" ht="15" customHeight="1" x14ac:dyDescent="0.2">
      <c r="A61" s="1991"/>
      <c r="B61" s="2224"/>
      <c r="C61" s="1479" t="str">
        <f>F!C45</f>
        <v>those species together comprise &gt; 50% of the areal cover of native shrub species.</v>
      </c>
      <c r="D61" s="737">
        <f>F!D45</f>
        <v>0</v>
      </c>
      <c r="E61" s="722">
        <v>1</v>
      </c>
      <c r="F61" s="722">
        <f>D61*E61</f>
        <v>0</v>
      </c>
      <c r="G61" s="202"/>
      <c r="H61" s="2028"/>
      <c r="I61" s="1987"/>
    </row>
    <row r="62" spans="1:9" ht="26.25" thickBot="1" x14ac:dyDescent="0.25">
      <c r="A62" s="1993"/>
      <c r="B62" s="2225"/>
      <c r="C62" s="1480" t="str">
        <f>F!C46</f>
        <v>those species together do not comprise &gt; 50% of the areal cover of native shrub species.</v>
      </c>
      <c r="D62" s="1481">
        <f>F!D46</f>
        <v>0</v>
      </c>
      <c r="E62" s="244">
        <v>2</v>
      </c>
      <c r="F62" s="244">
        <f>D62*E62</f>
        <v>0</v>
      </c>
      <c r="G62" s="258"/>
      <c r="H62" s="2029"/>
      <c r="I62" s="1988"/>
    </row>
    <row r="63" spans="1:9" ht="30" customHeight="1" thickBot="1" x14ac:dyDescent="0.25">
      <c r="A63" s="2036" t="str">
        <f>F!A53</f>
        <v>F9</v>
      </c>
      <c r="B63" s="2027" t="str">
        <f>F!B53</f>
        <v>Large Snags (Dead Standing Trees)</v>
      </c>
      <c r="C63" s="769" t="str">
        <f>F!C53</f>
        <v>The number of large snags (diameter &gt;20 cm) in the AA plus adjoining upland area within 10 m of the wetland edge is:</v>
      </c>
      <c r="D63" s="282"/>
      <c r="E63" s="376"/>
      <c r="F63" s="262"/>
      <c r="G63" s="225" t="str">
        <f>IF((SUM(F!D19:D24)=0),"",IF((SUM(F!D19:D20)=0),"", MAX(F64:F66)/MAX(E64:E66)))</f>
        <v/>
      </c>
      <c r="H63" s="2027" t="s">
        <v>760</v>
      </c>
      <c r="I63" s="2117" t="s">
        <v>1762</v>
      </c>
    </row>
    <row r="64" spans="1:9" ht="16.149999999999999" customHeight="1" x14ac:dyDescent="0.2">
      <c r="A64" s="2222"/>
      <c r="B64" s="2224"/>
      <c r="C64" s="768" t="str">
        <f>F!C54</f>
        <v>Few or none that meet these criteria.</v>
      </c>
      <c r="D64" s="737">
        <f>F!D54</f>
        <v>0</v>
      </c>
      <c r="E64" s="734">
        <v>0</v>
      </c>
      <c r="F64" s="722">
        <f>D64*E64</f>
        <v>0</v>
      </c>
      <c r="G64" s="202"/>
      <c r="H64" s="2028"/>
      <c r="I64" s="2118"/>
    </row>
    <row r="65" spans="1:9" ht="25.5" x14ac:dyDescent="0.2">
      <c r="A65" s="2222"/>
      <c r="B65" s="2224"/>
      <c r="C65" s="813" t="str">
        <f>F!C55</f>
        <v>Several ( &gt;5/hectare) and a pond, lake, or slow-flowing water wider than 10 m is within 1 km.</v>
      </c>
      <c r="D65" s="737">
        <f>F!D55</f>
        <v>0</v>
      </c>
      <c r="E65" s="734">
        <v>2</v>
      </c>
      <c r="F65" s="722">
        <f>D65*E65</f>
        <v>0</v>
      </c>
      <c r="G65" s="202"/>
      <c r="H65" s="2028"/>
      <c r="I65" s="2118"/>
    </row>
    <row r="66" spans="1:9" ht="15" customHeight="1" thickBot="1" x14ac:dyDescent="0.25">
      <c r="A66" s="2223"/>
      <c r="B66" s="2225"/>
      <c r="C66" s="340" t="str">
        <f>F!C56</f>
        <v>Several ( &gt;5/hectare) but above not true.</v>
      </c>
      <c r="D66" s="81">
        <f>F!D56</f>
        <v>0</v>
      </c>
      <c r="E66" s="272">
        <v>1</v>
      </c>
      <c r="F66" s="244">
        <f>D66*E66</f>
        <v>0</v>
      </c>
      <c r="G66" s="258"/>
      <c r="H66" s="2029"/>
      <c r="I66" s="2119"/>
    </row>
    <row r="67" spans="1:9" ht="21" customHeight="1" thickBot="1" x14ac:dyDescent="0.25">
      <c r="A67" s="1991" t="str">
        <f>F!A73</f>
        <v>F13</v>
      </c>
      <c r="B67" s="2053" t="str">
        <f>F!B73</f>
        <v>Upland Inclusions</v>
      </c>
      <c r="C67" s="1399" t="str">
        <f>F!C73</f>
        <v>Within the AA, inclusions of upland that individually are &gt;100 sq.m. are:</v>
      </c>
      <c r="D67" s="736"/>
      <c r="E67" s="239"/>
      <c r="F67" s="259"/>
      <c r="G67" s="219">
        <f>IF((D68=1),"", MAX(F68:F70)/MAX(E68:E70))</f>
        <v>0</v>
      </c>
      <c r="H67" s="2028" t="s">
        <v>147</v>
      </c>
      <c r="I67" s="1987" t="s">
        <v>32</v>
      </c>
    </row>
    <row r="68" spans="1:9" ht="15" customHeight="1" x14ac:dyDescent="0.2">
      <c r="A68" s="1991"/>
      <c r="B68" s="2053"/>
      <c r="C68" s="327" t="str">
        <f>F!C74</f>
        <v>Few or none.</v>
      </c>
      <c r="D68" s="40">
        <f>F!D74</f>
        <v>0</v>
      </c>
      <c r="E68" s="241">
        <v>0</v>
      </c>
      <c r="F68" s="241">
        <f>D68*E68</f>
        <v>0</v>
      </c>
      <c r="G68" s="202"/>
      <c r="H68" s="2028"/>
      <c r="I68" s="1987"/>
    </row>
    <row r="69" spans="1:9" ht="15" customHeight="1" x14ac:dyDescent="0.2">
      <c r="A69" s="1991"/>
      <c r="B69" s="2053"/>
      <c r="C69" s="342" t="str">
        <f>F!C75</f>
        <v>Intermediate (1 - 10% of vegetated part of the AA).</v>
      </c>
      <c r="D69" s="40">
        <f>F!D75</f>
        <v>0</v>
      </c>
      <c r="E69" s="241">
        <v>1</v>
      </c>
      <c r="F69" s="241">
        <f>D69*E69</f>
        <v>0</v>
      </c>
      <c r="G69" s="267"/>
      <c r="H69" s="2028"/>
      <c r="I69" s="1987"/>
    </row>
    <row r="70" spans="1:9" ht="15" customHeight="1" thickBot="1" x14ac:dyDescent="0.25">
      <c r="A70" s="1993"/>
      <c r="B70" s="2074"/>
      <c r="C70" s="340" t="str">
        <f>F!C76</f>
        <v>Many (e.g., wetland-upland "mosaic", &gt;10% of the vegetated AA).</v>
      </c>
      <c r="D70" s="81">
        <f>F!D76</f>
        <v>0</v>
      </c>
      <c r="E70" s="244">
        <v>2</v>
      </c>
      <c r="F70" s="244">
        <f>D70*E70</f>
        <v>0</v>
      </c>
      <c r="G70" s="258"/>
      <c r="H70" s="2029"/>
      <c r="I70" s="1988"/>
    </row>
    <row r="71" spans="1:9" ht="21" customHeight="1" thickBot="1" x14ac:dyDescent="0.25">
      <c r="A71" s="1992" t="str">
        <f>F!A95</f>
        <v>F17</v>
      </c>
      <c r="B71" s="2073" t="str">
        <f>F!B95</f>
        <v>Forb Cover</v>
      </c>
      <c r="C71" s="352" t="str">
        <f>F!C95</f>
        <v>The areal cover of forbs reaches an annual maximum of:</v>
      </c>
      <c r="D71" s="581"/>
      <c r="E71" s="376"/>
      <c r="F71" s="376"/>
      <c r="G71" s="225">
        <f>IF((NoHerbCov=1),"", MAX(F72:F76)/MAX(E72:E76))</f>
        <v>0</v>
      </c>
      <c r="H71" s="2027" t="s">
        <v>751</v>
      </c>
      <c r="I71" s="2120" t="s">
        <v>1204</v>
      </c>
    </row>
    <row r="72" spans="1:9" ht="15" customHeight="1" x14ac:dyDescent="0.2">
      <c r="A72" s="2222"/>
      <c r="B72" s="2229"/>
      <c r="C72" s="552" t="str">
        <f>F!C96</f>
        <v>&lt;5% of the vegetated AA.</v>
      </c>
      <c r="D72" s="180">
        <f>F!D96</f>
        <v>0</v>
      </c>
      <c r="E72" s="377">
        <v>0</v>
      </c>
      <c r="F72" s="377">
        <f>D72*E72</f>
        <v>0</v>
      </c>
      <c r="G72" s="775"/>
      <c r="H72" s="2028"/>
      <c r="I72" s="1987"/>
    </row>
    <row r="73" spans="1:9" ht="15" customHeight="1" x14ac:dyDescent="0.2">
      <c r="A73" s="2222"/>
      <c r="B73" s="2229"/>
      <c r="C73" s="576" t="str">
        <f>F!C97</f>
        <v>5-25% of the vegetated AA.</v>
      </c>
      <c r="D73" s="354">
        <f>F!D97</f>
        <v>0</v>
      </c>
      <c r="E73" s="377">
        <v>2</v>
      </c>
      <c r="F73" s="377">
        <f>D73*E73</f>
        <v>0</v>
      </c>
      <c r="G73" s="775"/>
      <c r="H73" s="2028"/>
      <c r="I73" s="1987"/>
    </row>
    <row r="74" spans="1:9" ht="15" customHeight="1" x14ac:dyDescent="0.2">
      <c r="A74" s="2222"/>
      <c r="B74" s="2229"/>
      <c r="C74" s="576" t="str">
        <f>F!C98</f>
        <v>25-50% of the vegetated AA.</v>
      </c>
      <c r="D74" s="354">
        <f>F!D98</f>
        <v>0</v>
      </c>
      <c r="E74" s="377">
        <v>3</v>
      </c>
      <c r="F74" s="377">
        <f>D74*E74</f>
        <v>0</v>
      </c>
      <c r="G74" s="775"/>
      <c r="H74" s="2028"/>
      <c r="I74" s="1987"/>
    </row>
    <row r="75" spans="1:9" ht="15" customHeight="1" x14ac:dyDescent="0.2">
      <c r="A75" s="2222"/>
      <c r="B75" s="2229"/>
      <c r="C75" s="576" t="str">
        <f>F!C99</f>
        <v>50-95% of the vegetated AA.</v>
      </c>
      <c r="D75" s="354">
        <f>F!D99</f>
        <v>0</v>
      </c>
      <c r="E75" s="377">
        <v>2</v>
      </c>
      <c r="F75" s="377">
        <f>D75*E75</f>
        <v>0</v>
      </c>
      <c r="G75" s="775"/>
      <c r="H75" s="2028"/>
      <c r="I75" s="1987"/>
    </row>
    <row r="76" spans="1:9" ht="15" customHeight="1" thickBot="1" x14ac:dyDescent="0.25">
      <c r="A76" s="2223"/>
      <c r="B76" s="2230"/>
      <c r="C76" s="445" t="str">
        <f>F!C100</f>
        <v>&gt;95% of the vegetated AA. SKIP to F20 (Invasive Plant Cover).</v>
      </c>
      <c r="D76" s="94">
        <f>F!D100</f>
        <v>0</v>
      </c>
      <c r="E76" s="244">
        <v>1</v>
      </c>
      <c r="F76" s="244">
        <f>D76*E76</f>
        <v>0</v>
      </c>
      <c r="G76" s="258"/>
      <c r="H76" s="2029"/>
      <c r="I76" s="1988"/>
    </row>
    <row r="77" spans="1:9" ht="21" customHeight="1" thickBot="1" x14ac:dyDescent="0.25">
      <c r="A77" s="2075" t="str">
        <f>F!A101</f>
        <v>F18</v>
      </c>
      <c r="B77" s="2053" t="str">
        <f>F!B101</f>
        <v>Sedge Cover</v>
      </c>
      <c r="C77" s="1397" t="str">
        <f>F!C101</f>
        <v>Sedges (Carex spp.) and/or cottongrass (Eriophorum spp.) occupy:</v>
      </c>
      <c r="D77" s="239"/>
      <c r="E77" s="239"/>
      <c r="F77" s="239"/>
      <c r="G77" s="219">
        <f>IF((NoHerbCov=1),"", MAX(F78:F82)/MAX(E78:E82))</f>
        <v>0</v>
      </c>
      <c r="H77" s="2027" t="s">
        <v>759</v>
      </c>
      <c r="I77" s="1987" t="s">
        <v>2444</v>
      </c>
    </row>
    <row r="78" spans="1:9" ht="15" customHeight="1" x14ac:dyDescent="0.2">
      <c r="A78" s="2075"/>
      <c r="B78" s="2053"/>
      <c r="C78" s="552" t="str">
        <f>F!C102</f>
        <v>&lt;0.01 hectare and &lt;1% of the herbaceous cover (excluding mosses).</v>
      </c>
      <c r="D78" s="180">
        <f>F!D102</f>
        <v>0</v>
      </c>
      <c r="E78" s="241">
        <v>1</v>
      </c>
      <c r="F78" s="241">
        <f>D78*E78</f>
        <v>0</v>
      </c>
      <c r="G78" s="775"/>
      <c r="H78" s="2028"/>
      <c r="I78" s="1987"/>
    </row>
    <row r="79" spans="1:9" ht="15" customHeight="1" x14ac:dyDescent="0.2">
      <c r="A79" s="2075"/>
      <c r="B79" s="2053"/>
      <c r="C79" s="576" t="str">
        <f>F!C103</f>
        <v>1-30% of the herbaceous cover.</v>
      </c>
      <c r="D79" s="91">
        <f>F!D103</f>
        <v>0</v>
      </c>
      <c r="E79" s="241">
        <v>2</v>
      </c>
      <c r="F79" s="241">
        <f>D79*E79</f>
        <v>0</v>
      </c>
      <c r="G79" s="775"/>
      <c r="H79" s="2028"/>
      <c r="I79" s="1987"/>
    </row>
    <row r="80" spans="1:9" ht="15" customHeight="1" x14ac:dyDescent="0.2">
      <c r="A80" s="2075"/>
      <c r="B80" s="2053"/>
      <c r="C80" s="576" t="str">
        <f>F!C104</f>
        <v>30-60% of the herbaceous cover.</v>
      </c>
      <c r="D80" s="91">
        <f>F!D104</f>
        <v>0</v>
      </c>
      <c r="E80" s="722">
        <v>3</v>
      </c>
      <c r="F80" s="722">
        <f>D80*E80</f>
        <v>0</v>
      </c>
      <c r="G80" s="775"/>
      <c r="H80" s="2028"/>
      <c r="I80" s="1987"/>
    </row>
    <row r="81" spans="1:10" ht="15" customHeight="1" x14ac:dyDescent="0.2">
      <c r="A81" s="2075"/>
      <c r="B81" s="2053"/>
      <c r="C81" s="576" t="str">
        <f>F!C105</f>
        <v>60-90% of the herbaceous cover.</v>
      </c>
      <c r="D81" s="91">
        <f>F!D105</f>
        <v>0</v>
      </c>
      <c r="E81" s="241">
        <v>4</v>
      </c>
      <c r="F81" s="241">
        <f>D81*E81</f>
        <v>0</v>
      </c>
      <c r="G81" s="775"/>
      <c r="H81" s="2028"/>
      <c r="I81" s="1987"/>
    </row>
    <row r="82" spans="1:10" ht="15" customHeight="1" thickBot="1" x14ac:dyDescent="0.25">
      <c r="A82" s="2075"/>
      <c r="B82" s="2053"/>
      <c r="C82" s="533" t="str">
        <f>F!C106</f>
        <v>&gt;90% of the herbaceous cover.</v>
      </c>
      <c r="D82" s="370">
        <f>F!D106</f>
        <v>0</v>
      </c>
      <c r="E82" s="380">
        <v>2</v>
      </c>
      <c r="F82" s="380">
        <f>D82*E82</f>
        <v>0</v>
      </c>
      <c r="G82" s="721"/>
      <c r="H82" s="2028"/>
      <c r="I82" s="1987"/>
    </row>
    <row r="83" spans="1:10" s="6" customFormat="1" ht="39" thickBot="1" x14ac:dyDescent="0.25">
      <c r="A83" s="1992" t="str">
        <f>F!A107</f>
        <v>F19</v>
      </c>
      <c r="B83" s="2073" t="str">
        <f>F!B107</f>
        <v xml:space="preserve">Dominance of Most Abundant Herbaceous Species </v>
      </c>
      <c r="C83" s="43" t="str">
        <f>F!C107</f>
        <v>Determine which two native herbaceous (forb and graminoid) species comprise the greatest portion of the herbaceous cover that is unshaded by a woody canopy.  Then choose one of the following:</v>
      </c>
      <c r="D83" s="581"/>
      <c r="E83" s="376"/>
      <c r="F83" s="376"/>
      <c r="G83" s="225" t="str">
        <f>IF((D85=1),1,"")</f>
        <v/>
      </c>
      <c r="H83" s="2073" t="s">
        <v>752</v>
      </c>
      <c r="I83" s="2120" t="s">
        <v>1205</v>
      </c>
      <c r="J83" s="137"/>
    </row>
    <row r="84" spans="1:10" s="6" customFormat="1" ht="27" customHeight="1" x14ac:dyDescent="0.2">
      <c r="A84" s="2222"/>
      <c r="B84" s="2229"/>
      <c r="C84" s="552" t="str">
        <f>F!C108</f>
        <v>those species together comprise &gt; 50% of the areal cover of native herbaceous plants at any time during the year.</v>
      </c>
      <c r="D84" s="354">
        <f>F!D108</f>
        <v>0</v>
      </c>
      <c r="E84" s="377"/>
      <c r="F84" s="377"/>
      <c r="G84" s="857"/>
      <c r="H84" s="2053"/>
      <c r="I84" s="1987"/>
      <c r="J84" s="137"/>
    </row>
    <row r="85" spans="1:10" s="6" customFormat="1" ht="27" customHeight="1" thickBot="1" x14ac:dyDescent="0.25">
      <c r="A85" s="2223"/>
      <c r="B85" s="2230"/>
      <c r="C85" s="445" t="str">
        <f>F!C109</f>
        <v>those species together do not comprise &gt; 50% of the areal cover of native herbaceous plants at any time during the year.</v>
      </c>
      <c r="D85" s="94">
        <f>F!D109</f>
        <v>0</v>
      </c>
      <c r="E85" s="244"/>
      <c r="F85" s="244"/>
      <c r="G85" s="266"/>
      <c r="H85" s="2074"/>
      <c r="I85" s="1988"/>
      <c r="J85" s="137"/>
    </row>
    <row r="86" spans="1:10" s="6" customFormat="1" ht="39" thickBot="1" x14ac:dyDescent="0.25">
      <c r="A86" s="2075" t="str">
        <f>F!A121</f>
        <v>F22</v>
      </c>
      <c r="B86" s="2053" t="str">
        <f>F!B121</f>
        <v>% Never With Surface Water</v>
      </c>
      <c r="C86" s="1397" t="str">
        <f>F!C121</f>
        <v>The percentage of the AA that never contains surface water during an average year (that is, except perhaps for a few hours after snowmelt or rainstorms), but which is still a wetland, is:</v>
      </c>
      <c r="D86" s="238"/>
      <c r="E86" s="238"/>
      <c r="F86" s="239"/>
      <c r="G86" s="219">
        <f>MAX(F87:F91)/MAX(E87:E91)</f>
        <v>0</v>
      </c>
      <c r="H86" s="2053" t="s">
        <v>286</v>
      </c>
      <c r="I86" s="1987" t="s">
        <v>540</v>
      </c>
      <c r="J86" s="441"/>
    </row>
    <row r="87" spans="1:10" s="6" customFormat="1" ht="38.25" x14ac:dyDescent="0.2">
      <c r="A87" s="2075"/>
      <c r="B87" s="2224"/>
      <c r="C87" s="135" t="str">
        <f>F!C122</f>
        <v>&lt;0.01 hectare (about 10 m on a side) and &lt;1% of the AA never has surface water.  In other words, all or nearly all of the AA is covered by water permanently or at least seasonally.</v>
      </c>
      <c r="D87" s="1482">
        <f>F!D122</f>
        <v>0</v>
      </c>
      <c r="E87" s="241">
        <v>1</v>
      </c>
      <c r="F87" s="241">
        <f>D87*E87</f>
        <v>0</v>
      </c>
      <c r="G87" s="721"/>
      <c r="H87" s="2053"/>
      <c r="I87" s="1987"/>
      <c r="J87" s="441"/>
    </row>
    <row r="88" spans="1:10" s="6" customFormat="1" ht="15" customHeight="1" x14ac:dyDescent="0.2">
      <c r="A88" s="2075"/>
      <c r="B88" s="2224"/>
      <c r="C88" s="1483" t="str">
        <f>F!C123</f>
        <v>1-25% of the AA never contains surface water.</v>
      </c>
      <c r="D88" s="1482">
        <f>F!D123</f>
        <v>0</v>
      </c>
      <c r="E88" s="241">
        <v>2</v>
      </c>
      <c r="F88" s="241">
        <f>D88*E88</f>
        <v>0</v>
      </c>
      <c r="G88" s="721"/>
      <c r="H88" s="2053"/>
      <c r="I88" s="1987"/>
      <c r="J88" s="441"/>
    </row>
    <row r="89" spans="1:10" s="6" customFormat="1" ht="15" customHeight="1" x14ac:dyDescent="0.2">
      <c r="A89" s="2075"/>
      <c r="B89" s="2224"/>
      <c r="C89" s="1483" t="str">
        <f>F!C124</f>
        <v>25-50% of the AA never contains surface water.</v>
      </c>
      <c r="D89" s="1482">
        <f>F!D124</f>
        <v>0</v>
      </c>
      <c r="E89" s="241">
        <v>3</v>
      </c>
      <c r="F89" s="241">
        <f>D89*E89</f>
        <v>0</v>
      </c>
      <c r="G89" s="721"/>
      <c r="H89" s="2053"/>
      <c r="I89" s="1987"/>
      <c r="J89" s="441"/>
    </row>
    <row r="90" spans="1:10" s="6" customFormat="1" ht="15" customHeight="1" x14ac:dyDescent="0.2">
      <c r="A90" s="2075"/>
      <c r="B90" s="2224"/>
      <c r="C90" s="1483" t="str">
        <f>F!C125</f>
        <v>50-99% of the AA never contains surface water.</v>
      </c>
      <c r="D90" s="1482">
        <f>F!D125</f>
        <v>0</v>
      </c>
      <c r="E90" s="241">
        <v>4</v>
      </c>
      <c r="F90" s="241">
        <f>D90*E90</f>
        <v>0</v>
      </c>
      <c r="G90" s="721"/>
      <c r="H90" s="2053"/>
      <c r="I90" s="1987"/>
      <c r="J90" s="441"/>
    </row>
    <row r="91" spans="1:10" s="6" customFormat="1" ht="39" thickBot="1" x14ac:dyDescent="0.25">
      <c r="A91" s="2075"/>
      <c r="B91" s="2224"/>
      <c r="C91" s="1483" t="str">
        <f>F!C126</f>
        <v>&gt;99% of the AA never contains surface water, except perhaps for water flowing in channels and/or in pools that occupy &lt;1% of the AA. SKIP to F48 (Channel Connection &amp; Outflow Duration).</v>
      </c>
      <c r="D91" s="1482">
        <f>F!D126</f>
        <v>0</v>
      </c>
      <c r="E91" s="241">
        <v>6</v>
      </c>
      <c r="F91" s="241">
        <f>D91*E91</f>
        <v>0</v>
      </c>
      <c r="G91" s="721"/>
      <c r="H91" s="2053"/>
      <c r="I91" s="1987"/>
      <c r="J91" s="441"/>
    </row>
    <row r="92" spans="1:10" ht="30" customHeight="1" thickBot="1" x14ac:dyDescent="0.25">
      <c r="A92" s="1992" t="str">
        <f>F!A127</f>
        <v>F23</v>
      </c>
      <c r="B92" s="2073" t="str">
        <f>F!B127</f>
        <v>% with Persistent Surface Water</v>
      </c>
      <c r="C92" s="352" t="str">
        <f>F!C127</f>
        <v>The percentage of the AA that has surface water (either ponded or flowing, either open or obscured by vegetation) during all of the growing season during most years is:</v>
      </c>
      <c r="D92" s="581"/>
      <c r="E92" s="376"/>
      <c r="F92" s="262"/>
      <c r="G92" s="225">
        <f>IF((AllSat1&gt;0),"", MAX(F93:F98)/MAX(E93:E98))</f>
        <v>0</v>
      </c>
      <c r="H92" s="2027" t="s">
        <v>144</v>
      </c>
      <c r="I92" s="2120" t="s">
        <v>1198</v>
      </c>
    </row>
    <row r="93" spans="1:10" x14ac:dyDescent="0.2">
      <c r="A93" s="2222"/>
      <c r="B93" s="2224"/>
      <c r="C93" s="338" t="str">
        <f>F!C128</f>
        <v>&lt;0.01 hectare and &lt;1% of the AA.  SKIP to F27 (% Flooded Only Seasonally).</v>
      </c>
      <c r="D93" s="187">
        <f>F!D128</f>
        <v>0</v>
      </c>
      <c r="E93" s="377">
        <v>5</v>
      </c>
      <c r="F93" s="377">
        <f t="shared" ref="F93:F98" si="2">D93*E93</f>
        <v>0</v>
      </c>
      <c r="G93" s="202"/>
      <c r="H93" s="2028"/>
      <c r="I93" s="1987"/>
    </row>
    <row r="94" spans="1:10" ht="15" customHeight="1" x14ac:dyDescent="0.2">
      <c r="A94" s="2222"/>
      <c r="B94" s="2224"/>
      <c r="C94" s="533" t="str">
        <f>F!C129</f>
        <v>1-5% of the AA.</v>
      </c>
      <c r="D94" s="370">
        <f>F!D129</f>
        <v>0</v>
      </c>
      <c r="E94" s="377">
        <v>4</v>
      </c>
      <c r="F94" s="377">
        <f t="shared" si="2"/>
        <v>0</v>
      </c>
      <c r="G94" s="775"/>
      <c r="H94" s="2028"/>
      <c r="I94" s="1987"/>
    </row>
    <row r="95" spans="1:10" ht="15" customHeight="1" x14ac:dyDescent="0.2">
      <c r="A95" s="2222"/>
      <c r="B95" s="2224"/>
      <c r="C95" s="533" t="str">
        <f>F!C130</f>
        <v>5-25% of the AA.</v>
      </c>
      <c r="D95" s="370">
        <f>F!D130</f>
        <v>0</v>
      </c>
      <c r="E95" s="377">
        <v>4</v>
      </c>
      <c r="F95" s="377">
        <f t="shared" si="2"/>
        <v>0</v>
      </c>
      <c r="G95" s="775"/>
      <c r="H95" s="2028"/>
      <c r="I95" s="1987"/>
    </row>
    <row r="96" spans="1:10" ht="15" customHeight="1" x14ac:dyDescent="0.2">
      <c r="A96" s="2222"/>
      <c r="B96" s="2224"/>
      <c r="C96" s="533" t="str">
        <f>F!C131</f>
        <v>25-50% of the AA.</v>
      </c>
      <c r="D96" s="370">
        <f>F!D131</f>
        <v>0</v>
      </c>
      <c r="E96" s="377">
        <v>3</v>
      </c>
      <c r="F96" s="377">
        <f t="shared" si="2"/>
        <v>0</v>
      </c>
      <c r="G96" s="775"/>
      <c r="H96" s="2028"/>
      <c r="I96" s="1987"/>
    </row>
    <row r="97" spans="1:9" ht="15" customHeight="1" x14ac:dyDescent="0.2">
      <c r="A97" s="2222"/>
      <c r="B97" s="2224"/>
      <c r="C97" s="533" t="str">
        <f>F!C132</f>
        <v>50-95% of the AA.</v>
      </c>
      <c r="D97" s="370">
        <f>F!D132</f>
        <v>0</v>
      </c>
      <c r="E97" s="377">
        <v>2</v>
      </c>
      <c r="F97" s="377">
        <f t="shared" si="2"/>
        <v>0</v>
      </c>
      <c r="G97" s="775"/>
      <c r="H97" s="2028"/>
      <c r="I97" s="1987"/>
    </row>
    <row r="98" spans="1:9" ht="15" customHeight="1" thickBot="1" x14ac:dyDescent="0.25">
      <c r="A98" s="2223"/>
      <c r="B98" s="2225"/>
      <c r="C98" s="445" t="str">
        <f>F!C133</f>
        <v>&gt;95% of the AA.</v>
      </c>
      <c r="D98" s="94">
        <f>F!D133</f>
        <v>0</v>
      </c>
      <c r="E98" s="272">
        <v>0</v>
      </c>
      <c r="F98" s="244">
        <f t="shared" si="2"/>
        <v>0</v>
      </c>
      <c r="G98" s="258"/>
      <c r="H98" s="2029"/>
      <c r="I98" s="1988"/>
    </row>
    <row r="99" spans="1:9" ht="39" thickBot="1" x14ac:dyDescent="0.25">
      <c r="A99" s="1992" t="str">
        <f>F!A173</f>
        <v>F33</v>
      </c>
      <c r="B99" s="2073" t="str">
        <f>F!B173</f>
        <v xml:space="preserve">% of Ponded Water That Is Open </v>
      </c>
      <c r="C99" s="1484" t="str">
        <f>F!C173</f>
        <v>In ducks-eye aerial view, the percentage of the ponded water that is open (lacking emergent vegetation during most of the growing season, and unhidden by a forest or shrub canopy) is:</v>
      </c>
      <c r="D99" s="1485"/>
      <c r="E99" s="376"/>
      <c r="F99" s="376"/>
      <c r="G99" s="225">
        <f>IF((AllSat1&gt;0),"", IF((SmallAA=1),"", MAX(F100:F105)/MAX(E100:E105)))</f>
        <v>0</v>
      </c>
      <c r="H99" s="2027" t="s">
        <v>750</v>
      </c>
      <c r="I99" s="2120" t="s">
        <v>1199</v>
      </c>
    </row>
    <row r="100" spans="1:9" ht="27" customHeight="1" x14ac:dyDescent="0.2">
      <c r="A100" s="2222"/>
      <c r="B100" s="2229"/>
      <c r="C100" s="934" t="str">
        <f>F!C174</f>
        <v>None, or &lt;1% of the AA and largest pool occupies &lt;0.01 hectares.  Enter "1" and SKIP to F41 (Floating Algae &amp; Duckweed).</v>
      </c>
      <c r="D100" s="354">
        <f>F!D174</f>
        <v>0</v>
      </c>
      <c r="E100" s="377">
        <v>4</v>
      </c>
      <c r="F100" s="377">
        <f t="shared" ref="F100:F105" si="3">D100*E100</f>
        <v>0</v>
      </c>
      <c r="G100" s="775"/>
      <c r="H100" s="2028"/>
      <c r="I100" s="1987"/>
    </row>
    <row r="101" spans="1:9" ht="15" customHeight="1" x14ac:dyDescent="0.2">
      <c r="A101" s="2222"/>
      <c r="B101" s="2229"/>
      <c r="C101" s="576" t="str">
        <f>F!C175</f>
        <v>1-5% of the ponded water.  Enter "1" and SKIP to F41.</v>
      </c>
      <c r="D101" s="354">
        <f>F!D175</f>
        <v>0</v>
      </c>
      <c r="E101" s="377">
        <v>5</v>
      </c>
      <c r="F101" s="377">
        <f t="shared" si="3"/>
        <v>0</v>
      </c>
      <c r="G101" s="775"/>
      <c r="H101" s="2028"/>
      <c r="I101" s="1987"/>
    </row>
    <row r="102" spans="1:9" ht="15" customHeight="1" x14ac:dyDescent="0.2">
      <c r="A102" s="2222"/>
      <c r="B102" s="2229"/>
      <c r="C102" s="576" t="str">
        <f>F!C176</f>
        <v>5-30% of the ponded water.</v>
      </c>
      <c r="D102" s="354">
        <f>F!D176</f>
        <v>0</v>
      </c>
      <c r="E102" s="377">
        <v>3</v>
      </c>
      <c r="F102" s="377">
        <f t="shared" si="3"/>
        <v>0</v>
      </c>
      <c r="G102" s="775"/>
      <c r="H102" s="2028"/>
      <c r="I102" s="1987"/>
    </row>
    <row r="103" spans="1:9" ht="15" customHeight="1" x14ac:dyDescent="0.2">
      <c r="A103" s="2222"/>
      <c r="B103" s="2229"/>
      <c r="C103" s="576" t="str">
        <f>F!C177</f>
        <v>30-70% of the ponded water.</v>
      </c>
      <c r="D103" s="354">
        <f>F!D177</f>
        <v>0</v>
      </c>
      <c r="E103" s="377">
        <v>2</v>
      </c>
      <c r="F103" s="377">
        <f t="shared" si="3"/>
        <v>0</v>
      </c>
      <c r="G103" s="775"/>
      <c r="H103" s="2028"/>
      <c r="I103" s="1987"/>
    </row>
    <row r="104" spans="1:9" ht="15" customHeight="1" x14ac:dyDescent="0.2">
      <c r="A104" s="2222"/>
      <c r="B104" s="2229"/>
      <c r="C104" s="576" t="str">
        <f>F!C178</f>
        <v>70-99% of the ponded water.</v>
      </c>
      <c r="D104" s="354">
        <f>F!D178</f>
        <v>0</v>
      </c>
      <c r="E104" s="377">
        <v>1</v>
      </c>
      <c r="F104" s="377">
        <f t="shared" si="3"/>
        <v>0</v>
      </c>
      <c r="G104" s="775"/>
      <c r="H104" s="2028"/>
      <c r="I104" s="1987"/>
    </row>
    <row r="105" spans="1:9" ht="15" customHeight="1" thickBot="1" x14ac:dyDescent="0.25">
      <c r="A105" s="2223"/>
      <c r="B105" s="2230"/>
      <c r="C105" s="445" t="str">
        <f>F!C179</f>
        <v xml:space="preserve">100% of the ponded water. </v>
      </c>
      <c r="D105" s="94">
        <f>F!D179</f>
        <v>0</v>
      </c>
      <c r="E105" s="244">
        <v>0</v>
      </c>
      <c r="F105" s="244">
        <f t="shared" si="3"/>
        <v>0</v>
      </c>
      <c r="G105" s="258"/>
      <c r="H105" s="2029"/>
      <c r="I105" s="1988"/>
    </row>
    <row r="106" spans="1:9" ht="39" thickBot="1" x14ac:dyDescent="0.25">
      <c r="A106" s="2036" t="str">
        <f>F!A180</f>
        <v>F34</v>
      </c>
      <c r="B106" s="2027" t="str">
        <f>F!B180</f>
        <v>Predominant Width of Vegetated Zone within Wetland</v>
      </c>
      <c r="C106" s="421" t="str">
        <f>F!C180</f>
        <v>At the time during the growing season when the AA's water level is lowest, the average width of vegetated area in the AA that separates adjoining uplands from open water within the AA is:</v>
      </c>
      <c r="D106" s="581"/>
      <c r="E106" s="581"/>
      <c r="F106" s="262"/>
      <c r="G106" s="225" t="str">
        <f>IF((AllSat1&gt;0),"", IF((OpenW=0),"", IF((SmallAA=1),"", MAX(F107:F112)/MAX(E107:E112))))</f>
        <v/>
      </c>
      <c r="H106" s="2027" t="s">
        <v>154</v>
      </c>
      <c r="I106" s="2120" t="s">
        <v>1200</v>
      </c>
    </row>
    <row r="107" spans="1:9" ht="18" customHeight="1" x14ac:dyDescent="0.2">
      <c r="A107" s="2222"/>
      <c r="B107" s="2224"/>
      <c r="C107" s="406" t="str">
        <f>F!C181</f>
        <v>&lt;1 m</v>
      </c>
      <c r="D107" s="356">
        <f>F!D181</f>
        <v>0</v>
      </c>
      <c r="E107" s="381">
        <v>0</v>
      </c>
      <c r="F107" s="377">
        <f t="shared" ref="F107:F112" si="4">D107*E107</f>
        <v>0</v>
      </c>
      <c r="G107" s="1715"/>
      <c r="H107" s="2028"/>
      <c r="I107" s="1987"/>
    </row>
    <row r="108" spans="1:9" ht="18" customHeight="1" x14ac:dyDescent="0.2">
      <c r="A108" s="2222"/>
      <c r="B108" s="2224"/>
      <c r="C108" s="339" t="str">
        <f>F!C182</f>
        <v>1 - 9 m</v>
      </c>
      <c r="D108" s="356">
        <f>F!D182</f>
        <v>0</v>
      </c>
      <c r="E108" s="381">
        <v>1</v>
      </c>
      <c r="F108" s="377">
        <f t="shared" si="4"/>
        <v>0</v>
      </c>
      <c r="G108" s="775"/>
      <c r="H108" s="2028"/>
      <c r="I108" s="1987"/>
    </row>
    <row r="109" spans="1:9" ht="18" customHeight="1" x14ac:dyDescent="0.2">
      <c r="A109" s="2222"/>
      <c r="B109" s="2224"/>
      <c r="C109" s="339" t="str">
        <f>F!C183</f>
        <v>10 - 29 m</v>
      </c>
      <c r="D109" s="356">
        <f>F!D183</f>
        <v>0</v>
      </c>
      <c r="E109" s="381">
        <v>2</v>
      </c>
      <c r="F109" s="377">
        <f t="shared" si="4"/>
        <v>0</v>
      </c>
      <c r="G109" s="775"/>
      <c r="H109" s="2028"/>
      <c r="I109" s="1987"/>
    </row>
    <row r="110" spans="1:9" ht="18" customHeight="1" x14ac:dyDescent="0.2">
      <c r="A110" s="2222"/>
      <c r="B110" s="2224"/>
      <c r="C110" s="339" t="str">
        <f>F!C184</f>
        <v>30 - 49 m</v>
      </c>
      <c r="D110" s="356">
        <f>F!D184</f>
        <v>0</v>
      </c>
      <c r="E110" s="381">
        <v>3</v>
      </c>
      <c r="F110" s="377">
        <f t="shared" si="4"/>
        <v>0</v>
      </c>
      <c r="G110" s="775"/>
      <c r="H110" s="2028"/>
      <c r="I110" s="1987"/>
    </row>
    <row r="111" spans="1:9" ht="18" customHeight="1" x14ac:dyDescent="0.2">
      <c r="A111" s="2222"/>
      <c r="B111" s="2224"/>
      <c r="C111" s="339" t="str">
        <f>F!C185</f>
        <v>50 - 100 m</v>
      </c>
      <c r="D111" s="356">
        <f>F!D185</f>
        <v>0</v>
      </c>
      <c r="E111" s="1486">
        <v>4</v>
      </c>
      <c r="F111" s="380">
        <f t="shared" si="4"/>
        <v>0</v>
      </c>
      <c r="G111" s="721"/>
      <c r="H111" s="2028"/>
      <c r="I111" s="1987"/>
    </row>
    <row r="112" spans="1:9" ht="18" customHeight="1" thickBot="1" x14ac:dyDescent="0.25">
      <c r="A112" s="2223"/>
      <c r="B112" s="2225"/>
      <c r="C112" s="340" t="str">
        <f>F!C186</f>
        <v>&gt; 100 m</v>
      </c>
      <c r="D112" s="81">
        <f>F!D186</f>
        <v>0</v>
      </c>
      <c r="E112" s="272">
        <v>6</v>
      </c>
      <c r="F112" s="244">
        <f t="shared" si="4"/>
        <v>0</v>
      </c>
      <c r="G112" s="258"/>
      <c r="H112" s="2029"/>
      <c r="I112" s="1988"/>
    </row>
    <row r="113" spans="1:9" ht="30" customHeight="1" thickBot="1" x14ac:dyDescent="0.25">
      <c r="A113" s="2100" t="str">
        <f>F!A199</f>
        <v>F37</v>
      </c>
      <c r="B113" s="2028" t="str">
        <f>F!B199</f>
        <v>Interspersion of Robust Emergents &amp; Open Water</v>
      </c>
      <c r="C113" s="1399" t="str">
        <f>F!C199</f>
        <v>During most of the part of the growing season when water is present, the spatial pattern of robust herbaceous vegetation (e.g., cattail, tall bulrush, buckbean) is mostly:</v>
      </c>
      <c r="D113" s="238"/>
      <c r="E113" s="238"/>
      <c r="F113" s="259"/>
      <c r="G113" s="219">
        <f>IF((AllSat1&gt;0),"",IF((NoPonded=1),"",IF((NoOpenPonded+NoOpenPonded1&gt;0),"",IF((AllOpenPond=1),"", IF((SmallAA=1),"", MAX(F114:F116)/MAX(E114:E116))))))</f>
        <v>0</v>
      </c>
      <c r="H113" s="2028" t="s">
        <v>153</v>
      </c>
      <c r="I113" s="1987" t="s">
        <v>1201</v>
      </c>
    </row>
    <row r="114" spans="1:9" ht="27" customHeight="1" x14ac:dyDescent="0.2">
      <c r="A114" s="2226"/>
      <c r="B114" s="2224"/>
      <c r="C114" s="327" t="str">
        <f>F!C200</f>
        <v>Scattered.  More than 30% of such vegetation forms small islands or corridors surrounded by water.</v>
      </c>
      <c r="D114" s="443">
        <f>F!D200</f>
        <v>0</v>
      </c>
      <c r="E114" s="245">
        <v>3</v>
      </c>
      <c r="F114" s="241">
        <f>D114*E114</f>
        <v>0</v>
      </c>
      <c r="G114" s="857"/>
      <c r="H114" s="2028"/>
      <c r="I114" s="1987"/>
    </row>
    <row r="115" spans="1:9" ht="15" customHeight="1" x14ac:dyDescent="0.2">
      <c r="A115" s="2226"/>
      <c r="B115" s="2224"/>
      <c r="C115" s="342" t="str">
        <f>F!C201</f>
        <v>Intermediate.</v>
      </c>
      <c r="D115" s="40">
        <f>F!D201</f>
        <v>0</v>
      </c>
      <c r="E115" s="245">
        <v>2</v>
      </c>
      <c r="F115" s="241">
        <f>D115*E115</f>
        <v>0</v>
      </c>
      <c r="G115" s="857"/>
      <c r="H115" s="2028"/>
      <c r="I115" s="1987"/>
    </row>
    <row r="116" spans="1:9" ht="27" customHeight="1" thickBot="1" x14ac:dyDescent="0.25">
      <c r="A116" s="2226"/>
      <c r="B116" s="2224"/>
      <c r="C116" s="342" t="str">
        <f>F!C202</f>
        <v>Clumped. More than 70% of such vegetation is in bands along the wetland perimeter or is clumped at one or a few sides of the surface water area.</v>
      </c>
      <c r="D116" s="40">
        <f>F!D202</f>
        <v>0</v>
      </c>
      <c r="E116" s="384">
        <v>1</v>
      </c>
      <c r="F116" s="380">
        <f>D116*E116</f>
        <v>0</v>
      </c>
      <c r="G116" s="720"/>
      <c r="H116" s="2029"/>
      <c r="I116" s="1987"/>
    </row>
    <row r="117" spans="1:9" ht="21" customHeight="1" thickBot="1" x14ac:dyDescent="0.25">
      <c r="A117" s="1992" t="str">
        <f>F!A222</f>
        <v>F45</v>
      </c>
      <c r="B117" s="2073" t="str">
        <f>F!B222</f>
        <v>Beaver Probability</v>
      </c>
      <c r="C117" s="421" t="str">
        <f>F!C222</f>
        <v>Use of the AA by beaver during the past 5 years is (select most applicable ONE):</v>
      </c>
      <c r="D117" s="777"/>
      <c r="E117" s="376"/>
      <c r="F117" s="262"/>
      <c r="G117" s="225">
        <f>IF((AllSat1&gt;0),"", MAX(F118:F120)/MAX(E118:E120))</f>
        <v>0</v>
      </c>
      <c r="H117" s="2027" t="s">
        <v>842</v>
      </c>
      <c r="I117" s="2120" t="s">
        <v>1356</v>
      </c>
    </row>
    <row r="118" spans="1:9" ht="27" customHeight="1" x14ac:dyDescent="0.2">
      <c r="A118" s="2222"/>
      <c r="B118" s="2224"/>
      <c r="C118" s="406" t="str">
        <f>F!C223</f>
        <v>evident from direct observation or presence of gnawed limbs, dams, tracks, dens, lodges, or extensive stands of water-killed trees (snags).</v>
      </c>
      <c r="D118" s="442">
        <f>F!D223</f>
        <v>0</v>
      </c>
      <c r="E118" s="239">
        <v>3</v>
      </c>
      <c r="F118" s="722">
        <f>D118*E118</f>
        <v>0</v>
      </c>
      <c r="G118" s="202"/>
      <c r="H118" s="2028"/>
      <c r="I118" s="1987"/>
    </row>
    <row r="119" spans="1:9" ht="54" customHeight="1" x14ac:dyDescent="0.2">
      <c r="A119" s="2222"/>
      <c r="B119" s="2224"/>
      <c r="C119" s="854" t="str">
        <f>F!C224</f>
        <v>likely based on known occurrence in the region and proximity to suitable habitat, which may include: (a) a persistent freshwater wetland, pond, or lake, or a perennial low or mid-gradient (&lt;10%) channel, and (b) a corridor or multiple stands of hardwood trees and shrubs in vegetated areas near surface water.</v>
      </c>
      <c r="D119" s="356">
        <f>F!D224</f>
        <v>0</v>
      </c>
      <c r="E119" s="239">
        <v>2</v>
      </c>
      <c r="F119" s="722">
        <f>D119*E119</f>
        <v>0</v>
      </c>
      <c r="G119" s="775"/>
      <c r="H119" s="2028"/>
      <c r="I119" s="1987"/>
    </row>
    <row r="120" spans="1:9" ht="39" thickBot="1" x14ac:dyDescent="0.25">
      <c r="A120" s="2223"/>
      <c r="B120" s="2225"/>
      <c r="C120" s="340" t="str">
        <f>F!C225</f>
        <v>unlikely because site characteristics above are deficient, and/or this is a settled area or other area where beaver are routinely removed.  But beaver occur in this part of the region (i.e., within 25 km).</v>
      </c>
      <c r="D120" s="81">
        <f>F!D225</f>
        <v>0</v>
      </c>
      <c r="E120" s="276">
        <v>0</v>
      </c>
      <c r="F120" s="244">
        <f>D120*E120</f>
        <v>0</v>
      </c>
      <c r="G120" s="258"/>
      <c r="H120" s="2029"/>
      <c r="I120" s="1988"/>
    </row>
    <row r="121" spans="1:9" ht="48" customHeight="1" thickBot="1" x14ac:dyDescent="0.25">
      <c r="A121" s="2035" t="str">
        <f>F!A252</f>
        <v>F52</v>
      </c>
      <c r="B121" s="2028" t="str">
        <f>F!B252</f>
        <v>Percent of Buffer with Perennial Vegetation</v>
      </c>
      <c r="C121" s="1399" t="str">
        <f>F!C252</f>
        <v>Extending 30 m on all sides from the AA's edge,  the percentage that contains water or perennial vegetation taller than 10 cm during most of the growing season is:</v>
      </c>
      <c r="D121" s="736"/>
      <c r="E121" s="239"/>
      <c r="F121" s="259"/>
      <c r="G121" s="219">
        <f>MAX(F122:F126)/MAX(E122:E126)</f>
        <v>0</v>
      </c>
      <c r="H121" s="2028" t="s">
        <v>151</v>
      </c>
      <c r="I121" s="1987" t="s">
        <v>1637</v>
      </c>
    </row>
    <row r="122" spans="1:9" ht="30" customHeight="1" x14ac:dyDescent="0.2">
      <c r="A122" s="2222"/>
      <c r="B122" s="2224"/>
      <c r="C122" s="406" t="str">
        <f>F!C253</f>
        <v xml:space="preserve">&lt;5% </v>
      </c>
      <c r="D122" s="22">
        <f>F!D253</f>
        <v>0</v>
      </c>
      <c r="E122" s="241">
        <v>0</v>
      </c>
      <c r="F122" s="241">
        <f>D122*E122</f>
        <v>0</v>
      </c>
      <c r="G122" s="202"/>
      <c r="H122" s="2028"/>
      <c r="I122" s="1987"/>
    </row>
    <row r="123" spans="1:9" ht="30" customHeight="1" x14ac:dyDescent="0.2">
      <c r="A123" s="2222"/>
      <c r="B123" s="2224"/>
      <c r="C123" s="339" t="str">
        <f>F!C254</f>
        <v>5 to 30%</v>
      </c>
      <c r="D123" s="22">
        <f>F!D254</f>
        <v>0</v>
      </c>
      <c r="E123" s="241">
        <v>1</v>
      </c>
      <c r="F123" s="241">
        <f>D123*E123</f>
        <v>0</v>
      </c>
      <c r="G123" s="775"/>
      <c r="H123" s="2028"/>
      <c r="I123" s="1987"/>
    </row>
    <row r="124" spans="1:9" ht="30" customHeight="1" x14ac:dyDescent="0.2">
      <c r="A124" s="2222"/>
      <c r="B124" s="2224"/>
      <c r="C124" s="339" t="str">
        <f>F!C255</f>
        <v>30 to 60%</v>
      </c>
      <c r="D124" s="22">
        <f>F!D255</f>
        <v>0</v>
      </c>
      <c r="E124" s="241">
        <v>2</v>
      </c>
      <c r="F124" s="241">
        <f>D124*E124</f>
        <v>0</v>
      </c>
      <c r="G124" s="775"/>
      <c r="H124" s="2028"/>
      <c r="I124" s="1987"/>
    </row>
    <row r="125" spans="1:9" ht="30" customHeight="1" x14ac:dyDescent="0.2">
      <c r="A125" s="2222"/>
      <c r="B125" s="2224"/>
      <c r="C125" s="339" t="str">
        <f>F!C256</f>
        <v>60 to 90%</v>
      </c>
      <c r="D125" s="22">
        <f>F!D256</f>
        <v>0</v>
      </c>
      <c r="E125" s="241">
        <v>4</v>
      </c>
      <c r="F125" s="241">
        <f>D125*E125</f>
        <v>0</v>
      </c>
      <c r="G125" s="775"/>
      <c r="H125" s="2028"/>
      <c r="I125" s="1987"/>
    </row>
    <row r="126" spans="1:9" ht="30" customHeight="1" thickBot="1" x14ac:dyDescent="0.25">
      <c r="A126" s="2222"/>
      <c r="B126" s="2224"/>
      <c r="C126" s="339" t="str">
        <f>F!C257</f>
        <v>&gt;90%, or the AA does not adjoin any upland  SKIP to F54 (Cliffs).</v>
      </c>
      <c r="D126" s="356">
        <f>F!D257</f>
        <v>0</v>
      </c>
      <c r="E126" s="380">
        <v>5</v>
      </c>
      <c r="F126" s="436">
        <f>D126*E126</f>
        <v>0</v>
      </c>
      <c r="G126" s="721"/>
      <c r="H126" s="2028"/>
      <c r="I126" s="1987"/>
    </row>
    <row r="127" spans="1:9" ht="30" customHeight="1" thickBot="1" x14ac:dyDescent="0.25">
      <c r="A127" s="2036" t="str">
        <f>F!A258</f>
        <v>F53</v>
      </c>
      <c r="B127" s="2027" t="str">
        <f>F!B258</f>
        <v>Type of Cover in Buffer</v>
      </c>
      <c r="C127" s="421" t="str">
        <f>F!C258</f>
        <v>Within the 30 m zone described above, the area that is NOT perennial vegetation or water is mostly (mark ONE):</v>
      </c>
      <c r="D127" s="1487"/>
      <c r="E127" s="376"/>
      <c r="F127" s="262"/>
      <c r="G127" s="225">
        <f>IF((BuffAllNat=1),"", MAX(F128:F129)/MAX(E128:E129))</f>
        <v>0</v>
      </c>
      <c r="H127" s="2027" t="s">
        <v>152</v>
      </c>
      <c r="I127" s="2120" t="s">
        <v>1257</v>
      </c>
    </row>
    <row r="128" spans="1:9" ht="15" customHeight="1" x14ac:dyDescent="0.2">
      <c r="A128" s="2035"/>
      <c r="B128" s="2224"/>
      <c r="C128" s="406" t="str">
        <f>F!C259</f>
        <v>impervious surface, e.g., paved road, parking lot, building, exposed rock.</v>
      </c>
      <c r="D128" s="356">
        <f>F!D259</f>
        <v>0</v>
      </c>
      <c r="E128" s="377">
        <v>0</v>
      </c>
      <c r="F128" s="377">
        <f>D128*E128</f>
        <v>0</v>
      </c>
      <c r="G128" s="202"/>
      <c r="H128" s="2028"/>
      <c r="I128" s="1987"/>
    </row>
    <row r="129" spans="1:9" ht="27" customHeight="1" thickBot="1" x14ac:dyDescent="0.25">
      <c r="A129" s="2037"/>
      <c r="B129" s="2225"/>
      <c r="C129" s="340" t="str">
        <f>F!C260</f>
        <v>bare or nearly bare pervious surface or managed vegetation, e.g., lawn, annual crops, mostly-unvegetated clearcut, landslide, unpaved road, drill pad, dike.</v>
      </c>
      <c r="D129" s="81">
        <f>F!D260</f>
        <v>0</v>
      </c>
      <c r="E129" s="244">
        <v>1</v>
      </c>
      <c r="F129" s="244">
        <f>D129*E129</f>
        <v>0</v>
      </c>
      <c r="G129" s="258"/>
      <c r="H129" s="2029"/>
      <c r="I129" s="1988"/>
    </row>
    <row r="130" spans="1:9" ht="60" customHeight="1" thickBot="1" x14ac:dyDescent="0.25">
      <c r="A130" s="1388" t="str">
        <f>F!A261</f>
        <v>F54</v>
      </c>
      <c r="B130" s="1415" t="str">
        <f>F!B261</f>
        <v xml:space="preserve">Cliffs, Steep Banks, or Salt Lick </v>
      </c>
      <c r="C130" s="136" t="str">
        <f>F!C261</f>
        <v>In the AA or within 100 m, there is a known salt lick, or elevated terrestrial features such as cliffs, talus slopes, stream banks, or excavated pits (but not riprap) that extend at least 2 m nearly vertically, are unvegetated, and potentially contain crevices or other substrate suitable for nesting or den areas.  Enter 1 (yes) or 0 (no).</v>
      </c>
      <c r="D130" s="1488">
        <f>F!D261</f>
        <v>0</v>
      </c>
      <c r="E130" s="269">
        <v>1</v>
      </c>
      <c r="F130" s="279">
        <f>D130*E130</f>
        <v>0</v>
      </c>
      <c r="G130" s="491" t="str">
        <f>IF((D130=0),"",1)</f>
        <v/>
      </c>
      <c r="H130" s="1394" t="s">
        <v>148</v>
      </c>
      <c r="I130" s="1382" t="s">
        <v>254</v>
      </c>
    </row>
    <row r="131" spans="1:9" ht="70.5" customHeight="1" thickBot="1" x14ac:dyDescent="0.25">
      <c r="A131" s="1992" t="str">
        <f>F!A288</f>
        <v>F60</v>
      </c>
      <c r="B131" s="2073" t="str">
        <f>F!B288</f>
        <v xml:space="preserve">Unvisited Core Area </v>
      </c>
      <c r="C131" s="421" t="str">
        <f>F!C288</f>
        <v>The percentage of the AA almost never visited by humans during an average growing season probably comprises: [Note: Only include the part actually walked or driven (not simply viewed from) with a vehicle or boat. Do not include visitors on trails outside of the AA unless more than half the wetland is visible from the trails and they are within 30 m of the wetland edge. In that case include only the area occupied by the trail]</v>
      </c>
      <c r="D131" s="581"/>
      <c r="E131" s="376"/>
      <c r="F131" s="262"/>
      <c r="G131" s="225">
        <f>MAX(F132:F137)/MAX(E132:E137)</f>
        <v>0</v>
      </c>
      <c r="H131" s="2027" t="s">
        <v>149</v>
      </c>
      <c r="I131" s="2227"/>
    </row>
    <row r="132" spans="1:9" ht="15" customHeight="1" x14ac:dyDescent="0.2">
      <c r="A132" s="1991"/>
      <c r="B132" s="2224"/>
      <c r="C132" s="327" t="str">
        <f>F!C289</f>
        <v>&lt;5% and no inhabited building is within 100 m of the AA.</v>
      </c>
      <c r="D132" s="359">
        <f>F!D289</f>
        <v>0</v>
      </c>
      <c r="E132" s="369">
        <v>1</v>
      </c>
      <c r="F132" s="377">
        <f t="shared" ref="F132:F137" si="5">D132*E132</f>
        <v>0</v>
      </c>
      <c r="G132" s="202"/>
      <c r="H132" s="2028"/>
      <c r="I132" s="1987"/>
    </row>
    <row r="133" spans="1:9" ht="15" customHeight="1" x14ac:dyDescent="0.2">
      <c r="A133" s="1991"/>
      <c r="B133" s="2224"/>
      <c r="C133" s="342" t="str">
        <f>F!C290</f>
        <v>&lt;5% and inhabited building is within 100 m of the AA.</v>
      </c>
      <c r="D133" s="359">
        <f>F!D290</f>
        <v>0</v>
      </c>
      <c r="E133" s="369">
        <v>0</v>
      </c>
      <c r="F133" s="377">
        <f t="shared" si="5"/>
        <v>0</v>
      </c>
      <c r="G133" s="775"/>
      <c r="H133" s="2028"/>
      <c r="I133" s="1987"/>
    </row>
    <row r="134" spans="1:9" ht="15" customHeight="1" x14ac:dyDescent="0.2">
      <c r="A134" s="1991"/>
      <c r="B134" s="2224"/>
      <c r="C134" s="342" t="str">
        <f>F!C291</f>
        <v>5-50% and no inhabited building is within 100 m of the AA.</v>
      </c>
      <c r="D134" s="359">
        <f>F!D291</f>
        <v>0</v>
      </c>
      <c r="E134" s="369">
        <v>3</v>
      </c>
      <c r="F134" s="377">
        <f t="shared" si="5"/>
        <v>0</v>
      </c>
      <c r="G134" s="775"/>
      <c r="H134" s="2028"/>
      <c r="I134" s="1987"/>
    </row>
    <row r="135" spans="1:9" ht="15" customHeight="1" x14ac:dyDescent="0.2">
      <c r="A135" s="1991"/>
      <c r="B135" s="2224"/>
      <c r="C135" s="342" t="str">
        <f>F!C292</f>
        <v>5-50% and inhabited building is within 100 m of the AA.</v>
      </c>
      <c r="D135" s="359">
        <f>F!D292</f>
        <v>0</v>
      </c>
      <c r="E135" s="369">
        <v>2</v>
      </c>
      <c r="F135" s="377">
        <f t="shared" si="5"/>
        <v>0</v>
      </c>
      <c r="G135" s="721"/>
      <c r="H135" s="2028"/>
      <c r="I135" s="1987"/>
    </row>
    <row r="136" spans="1:9" ht="15" customHeight="1" x14ac:dyDescent="0.2">
      <c r="A136" s="1991"/>
      <c r="B136" s="2224"/>
      <c r="C136" s="342" t="str">
        <f>F!C293</f>
        <v>50-95%, with or without inhabited building nearby.</v>
      </c>
      <c r="D136" s="359">
        <f>F!D293</f>
        <v>0</v>
      </c>
      <c r="E136" s="369">
        <v>4</v>
      </c>
      <c r="F136" s="377">
        <f t="shared" si="5"/>
        <v>0</v>
      </c>
      <c r="G136" s="721"/>
      <c r="H136" s="2028"/>
      <c r="I136" s="1987"/>
    </row>
    <row r="137" spans="1:9" ht="15" customHeight="1" thickBot="1" x14ac:dyDescent="0.25">
      <c r="A137" s="1993"/>
      <c r="B137" s="2225"/>
      <c r="C137" s="340" t="str">
        <f>F!C294</f>
        <v>&gt;95% of the AA with or without inhabited building nearby.</v>
      </c>
      <c r="D137" s="81">
        <f>F!D294</f>
        <v>0</v>
      </c>
      <c r="E137" s="205">
        <v>5</v>
      </c>
      <c r="F137" s="244">
        <f t="shared" si="5"/>
        <v>0</v>
      </c>
      <c r="G137" s="258"/>
      <c r="H137" s="2029"/>
      <c r="I137" s="1988"/>
    </row>
    <row r="138" spans="1:9" ht="72" customHeight="1" thickBot="1" x14ac:dyDescent="0.25">
      <c r="A138" s="1991" t="str">
        <f>F!A295</f>
        <v>F61</v>
      </c>
      <c r="B138" s="2053" t="str">
        <f>F!B295</f>
        <v>Frequently Visited Area</v>
      </c>
      <c r="C138" s="1399" t="str">
        <f>F!C295</f>
        <v>The percentage of the AA visited by humans almost daily for several weeks during an average growing season probably comprises: [Note: Do not include visitors on trails outside of the AA unless more than half the wetland is visible from the trails and they are within 30 m of the wetland edge.  In that case, imagine the percentage of the AA that would be covered by the trail if it were placed within the AA.]</v>
      </c>
      <c r="D138" s="238"/>
      <c r="E138" s="206"/>
      <c r="F138" s="259"/>
      <c r="G138" s="219">
        <f>MAX(F139:F142)/MAX(E139:E142)</f>
        <v>0</v>
      </c>
      <c r="H138" s="2027" t="s">
        <v>150</v>
      </c>
      <c r="I138" s="1987" t="s">
        <v>75</v>
      </c>
    </row>
    <row r="139" spans="1:9" ht="15" customHeight="1" x14ac:dyDescent="0.2">
      <c r="A139" s="2222"/>
      <c r="B139" s="2224"/>
      <c r="C139" s="327" t="str">
        <f>F!C296</f>
        <v>&lt;5%.  If F62 was answered "&gt;95%", SKIP to F64 (Consumptive Uses).</v>
      </c>
      <c r="D139" s="443">
        <f>F!D296</f>
        <v>0</v>
      </c>
      <c r="E139" s="204">
        <v>3</v>
      </c>
      <c r="F139" s="241">
        <f>D139*E139</f>
        <v>0</v>
      </c>
      <c r="G139" s="202"/>
      <c r="H139" s="2028"/>
      <c r="I139" s="1987"/>
    </row>
    <row r="140" spans="1:9" ht="15" customHeight="1" x14ac:dyDescent="0.2">
      <c r="A140" s="2222"/>
      <c r="B140" s="2224"/>
      <c r="C140" s="342" t="str">
        <f>F!C297</f>
        <v>5-50%</v>
      </c>
      <c r="D140" s="40">
        <f>F!D297</f>
        <v>0</v>
      </c>
      <c r="E140" s="204">
        <v>2</v>
      </c>
      <c r="F140" s="241">
        <f>D140*E140</f>
        <v>0</v>
      </c>
      <c r="G140" s="775"/>
      <c r="H140" s="2028"/>
      <c r="I140" s="1987"/>
    </row>
    <row r="141" spans="1:9" ht="15" customHeight="1" x14ac:dyDescent="0.2">
      <c r="A141" s="2222"/>
      <c r="B141" s="2224"/>
      <c r="C141" s="342" t="str">
        <f>F!C298</f>
        <v>50-95%</v>
      </c>
      <c r="D141" s="40">
        <f>F!D298</f>
        <v>0</v>
      </c>
      <c r="E141" s="204">
        <v>1</v>
      </c>
      <c r="F141" s="241">
        <f>D141*E141</f>
        <v>0</v>
      </c>
      <c r="G141" s="775"/>
      <c r="H141" s="2028"/>
      <c r="I141" s="1987"/>
    </row>
    <row r="142" spans="1:9" ht="15" customHeight="1" thickBot="1" x14ac:dyDescent="0.25">
      <c r="A142" s="2222"/>
      <c r="B142" s="2224"/>
      <c r="C142" s="339" t="str">
        <f>F!C299</f>
        <v>&gt;95% of the AA.</v>
      </c>
      <c r="D142" s="22">
        <f>F!D299</f>
        <v>0</v>
      </c>
      <c r="E142" s="207">
        <v>0</v>
      </c>
      <c r="F142" s="242">
        <f>D142*E142</f>
        <v>0</v>
      </c>
      <c r="G142" s="721"/>
      <c r="H142" s="2029"/>
      <c r="I142" s="1987"/>
    </row>
    <row r="143" spans="1:9" ht="60" customHeight="1" thickBot="1" x14ac:dyDescent="0.25">
      <c r="A143" s="1716" t="str">
        <f>F!A301</f>
        <v>F63</v>
      </c>
      <c r="B143" s="1681" t="str">
        <f>F!B301</f>
        <v>BMP - Wildlife Protection</v>
      </c>
      <c r="C143" s="1489" t="str">
        <f>F!C301</f>
        <v xml:space="preserve">Fences, observation blinds, platforms, paved trails, exclusion periods, and/or well-enforced prohibitions on motorized boats, off-leash pets, and off road vehicles appear to effectively exclude or divert visitors and their pets from the AA at critical times in order to minimize disturbance of wildlife (except during hunting seasons).  Enter "1" if true. </v>
      </c>
      <c r="D143" s="1490">
        <f>F!D301</f>
        <v>0</v>
      </c>
      <c r="E143" s="1075"/>
      <c r="F143" s="1050"/>
      <c r="G143" s="232">
        <f>IF((D137+D139&gt;1),"",D143)</f>
        <v>0</v>
      </c>
      <c r="H143" s="1023" t="s">
        <v>811</v>
      </c>
      <c r="I143" s="131" t="s">
        <v>1206</v>
      </c>
    </row>
    <row r="144" spans="1:9" ht="75" customHeight="1" thickBot="1" x14ac:dyDescent="0.25">
      <c r="A144" s="2232" t="str">
        <f>F!A324</f>
        <v>F68</v>
      </c>
      <c r="B144" s="2198" t="str">
        <f>F!B324</f>
        <v>Plants or Animals of Conservation Concern</v>
      </c>
      <c r="C144" s="597" t="str">
        <f>F!C324</f>
        <v xml:space="preserve">If required, survey the AA for plant or animal species at risk in Alberta (see list in RarePlants or RareAnimals worksheet tabs), especially if the data review conducted during the office phase of this assessment indicated their past presence in the general vicinity. Do so at appropriate times of the year. If you do detect these species or have reliable knowledge of their recent (within ~5 years) occurrence within the AA, indicate that below.  </v>
      </c>
      <c r="D144" s="206"/>
      <c r="E144" s="206"/>
      <c r="F144" s="259"/>
      <c r="G144" s="231" t="str">
        <f>IF((D145=0),"",1)</f>
        <v/>
      </c>
      <c r="H144" s="1989" t="s">
        <v>2007</v>
      </c>
      <c r="I144" s="1987" t="s">
        <v>2031</v>
      </c>
    </row>
    <row r="145" spans="1:10" ht="15" customHeight="1" thickBot="1" x14ac:dyDescent="0.25">
      <c r="A145" s="2232"/>
      <c r="B145" s="2198"/>
      <c r="C145" s="1491" t="str">
        <f>F!C329</f>
        <v>One or more of the rare songbird or mammal species was detected within the AA.</v>
      </c>
      <c r="D145" s="1492">
        <f>F!D329</f>
        <v>0</v>
      </c>
      <c r="E145" s="305"/>
      <c r="F145" s="380"/>
      <c r="G145" s="279"/>
      <c r="H145" s="1989"/>
      <c r="I145" s="1987"/>
    </row>
    <row r="146" spans="1:10" ht="45" customHeight="1" thickBot="1" x14ac:dyDescent="0.25">
      <c r="A146" s="1717" t="str">
        <f>S!A25</f>
        <v>S2</v>
      </c>
      <c r="B146" s="1717" t="str">
        <f>S!B25</f>
        <v>Accelerated Inputs of Contaminants and/or Salts</v>
      </c>
      <c r="C146" s="543"/>
      <c r="D146" s="1057">
        <f>S!F39</f>
        <v>0</v>
      </c>
      <c r="E146" s="1075"/>
      <c r="F146" s="798"/>
      <c r="G146" s="232">
        <f>1-D146</f>
        <v>1</v>
      </c>
      <c r="H146" s="794" t="s">
        <v>1763</v>
      </c>
      <c r="I146" s="352" t="s">
        <v>1335</v>
      </c>
    </row>
    <row r="147" spans="1:10" ht="21" customHeight="1" thickBot="1" x14ac:dyDescent="0.25">
      <c r="A147" s="110"/>
      <c r="B147" s="110"/>
      <c r="D147" s="489"/>
      <c r="E147" s="489"/>
      <c r="F147" s="489"/>
      <c r="G147" s="489"/>
      <c r="H147" s="119"/>
      <c r="I147" s="119"/>
    </row>
    <row r="148" spans="1:10" ht="21" customHeight="1" thickBot="1" x14ac:dyDescent="0.25">
      <c r="A148" s="6"/>
      <c r="C148" s="391" t="s">
        <v>756</v>
      </c>
      <c r="D148" s="610"/>
      <c r="E148" s="610"/>
      <c r="F148" s="610"/>
      <c r="G148" s="610"/>
      <c r="I148" s="115"/>
    </row>
    <row r="149" spans="1:10" ht="58.9" customHeight="1" thickBot="1" x14ac:dyDescent="0.25">
      <c r="A149" s="1350"/>
      <c r="B149" s="115"/>
      <c r="C149" s="553" t="s">
        <v>2440</v>
      </c>
      <c r="D149" s="293"/>
      <c r="E149" s="293"/>
      <c r="F149" s="293"/>
      <c r="G149" s="285" t="str">
        <f xml:space="preserve"> IFERROR((AVERAGE(WetVegArea, MAX(ClassRichIn,ClassRichIn14),Vwidth14) + AVERAGE(WetPerim2Area, Inclus14) + AVERAGE(SatPct14, PondedOWpct14) + AVERAGE(WoodyPct14, ShrubDiv14, HerbDom14, TreeTypes14, SnagD14, WoodDown14, Cliffs14) + AVERAGE(Interspers14, HerbWoodMix14)) /5,"")</f>
        <v/>
      </c>
      <c r="I149" s="115"/>
      <c r="J149" s="140"/>
    </row>
    <row r="150" spans="1:10" ht="21" customHeight="1" thickBot="1" x14ac:dyDescent="0.25">
      <c r="A150" s="1246"/>
      <c r="B150" s="1246"/>
      <c r="D150" s="827"/>
      <c r="E150" s="827"/>
      <c r="F150" s="827"/>
      <c r="G150" s="827"/>
      <c r="I150" s="115"/>
      <c r="J150" s="441"/>
    </row>
    <row r="151" spans="1:10" ht="21" customHeight="1" thickBot="1" x14ac:dyDescent="0.25">
      <c r="A151" s="1246"/>
      <c r="B151" s="1246"/>
      <c r="C151" s="391" t="s">
        <v>757</v>
      </c>
      <c r="D151" s="1027"/>
      <c r="E151" s="1027"/>
      <c r="F151" s="1027"/>
      <c r="G151" s="1027"/>
      <c r="I151" s="115"/>
      <c r="J151" s="441"/>
    </row>
    <row r="152" spans="1:10" ht="30" customHeight="1" thickBot="1" x14ac:dyDescent="0.25">
      <c r="A152" s="1350"/>
      <c r="B152" s="488"/>
      <c r="C152" s="554" t="s">
        <v>2281</v>
      </c>
      <c r="D152" s="1493"/>
      <c r="E152" s="1493"/>
      <c r="F152" s="1494"/>
      <c r="G152" s="285">
        <f>((MAX(RaptorNest, BioDivZone) + AVERAGE(GrowDD, RipFloodpl, Wettype14, Sedge14, ForbCov14,  Beaver14a)) /2)</f>
        <v>0</v>
      </c>
      <c r="I152" s="115"/>
      <c r="J152" s="5"/>
    </row>
    <row r="153" spans="1:10" ht="21" customHeight="1" thickBot="1" x14ac:dyDescent="0.25">
      <c r="A153" s="1246"/>
      <c r="B153" s="1246"/>
      <c r="D153" s="827"/>
      <c r="E153" s="827"/>
      <c r="F153" s="827"/>
      <c r="G153" s="827"/>
      <c r="I153" s="115"/>
      <c r="J153" s="441"/>
    </row>
    <row r="154" spans="1:10" ht="21" customHeight="1" thickBot="1" x14ac:dyDescent="0.25">
      <c r="A154" s="1246"/>
      <c r="B154" s="1246"/>
      <c r="C154" s="391" t="s">
        <v>758</v>
      </c>
      <c r="D154" s="1027"/>
      <c r="E154" s="1027"/>
      <c r="F154" s="1027"/>
      <c r="G154" s="1027"/>
      <c r="I154" s="115"/>
      <c r="J154" s="441"/>
    </row>
    <row r="155" spans="1:10" ht="21" customHeight="1" thickBot="1" x14ac:dyDescent="0.25">
      <c r="A155" s="488"/>
      <c r="B155" s="940"/>
      <c r="C155" s="541" t="s">
        <v>2441</v>
      </c>
      <c r="D155" s="1086"/>
      <c r="E155" s="507"/>
      <c r="F155" s="507"/>
      <c r="G155" s="285">
        <f>AVERAGE(NatCov1k, ClassRich1k, WetDens1k, CUbuffNatPct14)</f>
        <v>0</v>
      </c>
      <c r="I155" s="115"/>
      <c r="J155" s="441"/>
    </row>
    <row r="156" spans="1:10" s="6" customFormat="1" ht="21" customHeight="1" thickBot="1" x14ac:dyDescent="0.25">
      <c r="A156" s="21"/>
      <c r="B156" s="21"/>
      <c r="C156" s="135"/>
      <c r="D156" s="617"/>
      <c r="E156" s="617"/>
      <c r="F156" s="617"/>
      <c r="G156" s="617"/>
      <c r="H156" s="115"/>
      <c r="I156" s="115"/>
      <c r="J156" s="441"/>
    </row>
    <row r="157" spans="1:10" ht="21" customHeight="1" thickBot="1" x14ac:dyDescent="0.25">
      <c r="A157" s="21"/>
      <c r="B157" s="21"/>
      <c r="C157" s="391" t="s">
        <v>837</v>
      </c>
      <c r="D157" s="618"/>
      <c r="E157" s="618"/>
      <c r="F157" s="618"/>
      <c r="G157" s="618"/>
      <c r="I157" s="115"/>
      <c r="J157" s="441"/>
    </row>
    <row r="158" spans="1:10" ht="30" customHeight="1" thickBot="1" x14ac:dyDescent="0.25">
      <c r="A158" s="488"/>
      <c r="B158" s="940"/>
      <c r="C158" s="541" t="s">
        <v>2409</v>
      </c>
      <c r="D158" s="1086"/>
      <c r="E158" s="507"/>
      <c r="F158" s="1495"/>
      <c r="G158" s="285">
        <f>AVERAGE(Dist2DevCrop, 1-RdDens1k, Dist2Road, DistPop, 1-Linear,Dist2Industrial,Core14a, Core14b, BMP_14,ToxSource14)</f>
        <v>0.5</v>
      </c>
      <c r="I158" s="115"/>
      <c r="J158" s="441"/>
    </row>
    <row r="159" spans="1:10" ht="21" customHeight="1" thickBot="1" x14ac:dyDescent="0.25">
      <c r="A159" s="1246"/>
      <c r="B159" s="1246"/>
      <c r="D159" s="827"/>
      <c r="E159" s="827"/>
      <c r="F159" s="827"/>
      <c r="G159" s="827"/>
      <c r="I159" s="115"/>
      <c r="J159" s="441"/>
    </row>
    <row r="160" spans="1:10" ht="21" customHeight="1" thickBot="1" x14ac:dyDescent="0.25">
      <c r="A160" s="1246"/>
      <c r="B160" s="1246"/>
      <c r="C160" s="639" t="s">
        <v>846</v>
      </c>
      <c r="D160" s="5"/>
      <c r="E160" s="5"/>
      <c r="F160" s="5"/>
      <c r="G160" s="5"/>
      <c r="I160" s="115"/>
      <c r="J160" s="441"/>
    </row>
    <row r="161" spans="1:16" ht="21" customHeight="1" thickBot="1" x14ac:dyDescent="0.25">
      <c r="A161" s="1246"/>
      <c r="B161" s="1246"/>
      <c r="C161" s="417" t="s">
        <v>765</v>
      </c>
      <c r="D161" s="1027"/>
      <c r="E161" s="1027"/>
      <c r="F161" s="1027"/>
      <c r="G161" s="1027"/>
      <c r="I161" s="115"/>
      <c r="J161" s="441"/>
    </row>
    <row r="162" spans="1:16" ht="39" thickBot="1" x14ac:dyDescent="0.25">
      <c r="A162" s="1246"/>
      <c r="B162" s="1246"/>
      <c r="C162" s="78" t="s">
        <v>2037</v>
      </c>
      <c r="D162" s="507"/>
      <c r="E162" s="507"/>
      <c r="F162" s="1495"/>
      <c r="G162" s="582">
        <f>IF((RareSBM=1),10, IF((OR(CaribouRange=1,CaribouFound=1)),10, 10*MAX(CaribouFound,AVERAGE(UniqClass,HabStrucS1a, CfixS1a, LscapeS1a, StressS1a))))</f>
        <v>1.6666666666666665</v>
      </c>
      <c r="I162" s="115"/>
      <c r="J162" s="441"/>
    </row>
    <row r="163" spans="1:16" s="940" customFormat="1" ht="21" customHeight="1" thickBot="1" x14ac:dyDescent="0.25">
      <c r="A163" s="1246"/>
      <c r="B163" s="1246"/>
      <c r="C163" s="827"/>
      <c r="D163" s="827"/>
      <c r="E163" s="489"/>
      <c r="F163" s="489"/>
      <c r="G163" s="489"/>
      <c r="H163" s="591"/>
      <c r="I163" s="847" t="s">
        <v>293</v>
      </c>
      <c r="J163" s="141"/>
      <c r="K163" s="110"/>
      <c r="L163" s="110"/>
      <c r="M163" s="110"/>
      <c r="N163" s="110"/>
      <c r="O163" s="110"/>
      <c r="P163" s="110"/>
    </row>
    <row r="164" spans="1:16" s="940" customFormat="1" ht="28.5" customHeight="1" x14ac:dyDescent="0.2">
      <c r="A164" s="1550"/>
      <c r="B164" s="1550"/>
      <c r="C164" s="1496"/>
      <c r="D164" s="1497"/>
      <c r="E164" s="489"/>
      <c r="F164" s="489"/>
      <c r="G164" s="489"/>
      <c r="H164" s="591"/>
      <c r="I164" s="844" t="s">
        <v>361</v>
      </c>
      <c r="J164" s="141"/>
      <c r="K164" s="110"/>
      <c r="L164" s="110"/>
      <c r="M164" s="110"/>
      <c r="N164" s="110"/>
      <c r="O164" s="110"/>
      <c r="P164" s="110"/>
    </row>
    <row r="165" spans="1:16" s="122" customFormat="1" ht="38.25" x14ac:dyDescent="0.2">
      <c r="A165" s="1467"/>
      <c r="B165" s="1467"/>
      <c r="C165" s="1498"/>
      <c r="D165" s="1499"/>
      <c r="E165" s="489"/>
      <c r="F165" s="489"/>
      <c r="G165" s="489"/>
      <c r="H165" s="591"/>
      <c r="I165" s="846" t="s">
        <v>2408</v>
      </c>
      <c r="J165" s="140"/>
      <c r="K165" s="119"/>
      <c r="L165" s="119"/>
      <c r="M165" s="119"/>
      <c r="N165" s="119"/>
      <c r="O165" s="119"/>
      <c r="P165" s="119"/>
    </row>
    <row r="166" spans="1:16" s="122" customFormat="1" ht="25.5" x14ac:dyDescent="0.2">
      <c r="A166" s="1467"/>
      <c r="B166" s="1552"/>
      <c r="C166" s="1498"/>
      <c r="D166" s="1468"/>
      <c r="E166" s="489"/>
      <c r="F166" s="489"/>
      <c r="G166" s="489"/>
      <c r="H166" s="591"/>
      <c r="I166" s="846" t="s">
        <v>362</v>
      </c>
      <c r="J166" s="140"/>
      <c r="K166" s="119"/>
      <c r="L166" s="119"/>
      <c r="M166" s="119"/>
      <c r="N166" s="119"/>
      <c r="O166" s="119"/>
      <c r="P166" s="119"/>
    </row>
    <row r="167" spans="1:16" s="122" customFormat="1" ht="38.25" x14ac:dyDescent="0.2">
      <c r="A167" s="1467"/>
      <c r="B167" s="1552"/>
      <c r="C167" s="1498"/>
      <c r="D167" s="1468"/>
      <c r="E167" s="489"/>
      <c r="F167" s="489"/>
      <c r="G167" s="489"/>
      <c r="H167" s="591"/>
      <c r="I167" s="846" t="s">
        <v>2041</v>
      </c>
      <c r="J167" s="140"/>
      <c r="K167" s="119"/>
      <c r="L167" s="119"/>
      <c r="M167" s="119"/>
      <c r="N167" s="119"/>
      <c r="O167" s="119"/>
      <c r="P167" s="119"/>
    </row>
    <row r="168" spans="1:16" s="122" customFormat="1" ht="25.5" x14ac:dyDescent="0.2">
      <c r="A168" s="1467"/>
      <c r="B168" s="1552"/>
      <c r="C168" s="1498"/>
      <c r="D168" s="1468"/>
      <c r="E168" s="489"/>
      <c r="F168" s="489"/>
      <c r="G168" s="489"/>
      <c r="H168" s="591"/>
      <c r="I168" s="846" t="s">
        <v>494</v>
      </c>
      <c r="J168" s="140"/>
      <c r="K168" s="119"/>
      <c r="L168" s="119"/>
      <c r="M168" s="119"/>
      <c r="N168" s="119"/>
      <c r="O168" s="119"/>
      <c r="P168" s="119"/>
    </row>
    <row r="169" spans="1:16" s="122" customFormat="1" ht="25.5" x14ac:dyDescent="0.2">
      <c r="A169" s="1467"/>
      <c r="B169" s="1552"/>
      <c r="C169" s="1498"/>
      <c r="D169" s="1468"/>
      <c r="E169" s="489"/>
      <c r="F169" s="489"/>
      <c r="G169" s="489"/>
      <c r="H169" s="591"/>
      <c r="I169" s="846" t="s">
        <v>363</v>
      </c>
      <c r="J169" s="140"/>
      <c r="K169" s="119"/>
      <c r="L169" s="119"/>
      <c r="M169" s="119"/>
      <c r="N169" s="119"/>
      <c r="O169" s="119"/>
      <c r="P169" s="119"/>
    </row>
    <row r="170" spans="1:16" s="122" customFormat="1" ht="38.25" x14ac:dyDescent="0.2">
      <c r="A170" s="1467"/>
      <c r="B170" s="1552"/>
      <c r="C170" s="1498"/>
      <c r="D170" s="1468"/>
      <c r="E170" s="489"/>
      <c r="F170" s="489"/>
      <c r="G170" s="489"/>
      <c r="H170" s="591"/>
      <c r="I170" s="846" t="s">
        <v>364</v>
      </c>
      <c r="J170" s="140"/>
      <c r="K170" s="119"/>
      <c r="L170" s="119"/>
      <c r="M170" s="119"/>
      <c r="N170" s="119"/>
      <c r="O170" s="119"/>
      <c r="P170" s="119"/>
    </row>
    <row r="171" spans="1:16" s="122" customFormat="1" ht="38.25" x14ac:dyDescent="0.2">
      <c r="A171" s="1467"/>
      <c r="B171" s="1630"/>
      <c r="C171" s="1498"/>
      <c r="D171" s="1468"/>
      <c r="E171" s="489"/>
      <c r="F171" s="489"/>
      <c r="G171" s="489"/>
      <c r="H171" s="591"/>
      <c r="I171" s="846" t="s">
        <v>365</v>
      </c>
      <c r="J171" s="140"/>
      <c r="K171" s="119"/>
      <c r="L171" s="119"/>
      <c r="M171" s="119"/>
      <c r="N171" s="119"/>
      <c r="O171" s="119"/>
      <c r="P171" s="119"/>
    </row>
    <row r="172" spans="1:16" s="940" customFormat="1" ht="25.5" x14ac:dyDescent="0.2">
      <c r="A172" s="1467"/>
      <c r="B172" s="588"/>
      <c r="C172" s="412"/>
      <c r="D172" s="1469"/>
      <c r="E172" s="489"/>
      <c r="F172" s="489"/>
      <c r="G172" s="489"/>
      <c r="H172" s="591"/>
      <c r="I172" s="846" t="s">
        <v>1889</v>
      </c>
      <c r="J172" s="141"/>
      <c r="K172" s="110"/>
      <c r="L172" s="110"/>
      <c r="M172" s="110"/>
      <c r="N172" s="110"/>
      <c r="O172" s="110"/>
      <c r="P172" s="110"/>
    </row>
    <row r="173" spans="1:16" s="940" customFormat="1" ht="38.25" x14ac:dyDescent="0.2">
      <c r="A173" s="1467"/>
      <c r="B173" s="588"/>
      <c r="C173" s="1496"/>
      <c r="D173" s="1469"/>
      <c r="E173" s="489"/>
      <c r="F173" s="489"/>
      <c r="G173" s="489"/>
      <c r="H173" s="591"/>
      <c r="I173" s="846" t="s">
        <v>704</v>
      </c>
      <c r="J173" s="141"/>
      <c r="K173" s="110"/>
      <c r="L173" s="110"/>
      <c r="M173" s="110"/>
      <c r="N173" s="110"/>
      <c r="O173" s="110"/>
      <c r="P173" s="110"/>
    </row>
    <row r="174" spans="1:16" s="940" customFormat="1" ht="38.25" x14ac:dyDescent="0.2">
      <c r="A174" s="1467"/>
      <c r="B174" s="1467"/>
      <c r="C174" s="1498"/>
      <c r="D174" s="1469"/>
      <c r="E174" s="489"/>
      <c r="F174" s="489"/>
      <c r="G174" s="489"/>
      <c r="H174" s="591"/>
      <c r="I174" s="1407" t="s">
        <v>1960</v>
      </c>
      <c r="J174" s="141"/>
      <c r="K174" s="110"/>
      <c r="L174" s="110"/>
      <c r="M174" s="110"/>
      <c r="N174" s="110"/>
      <c r="O174" s="110"/>
      <c r="P174" s="110"/>
    </row>
    <row r="175" spans="1:16" s="940" customFormat="1" ht="28.5" customHeight="1" x14ac:dyDescent="0.2">
      <c r="A175" s="1467"/>
      <c r="B175" s="1630"/>
      <c r="C175" s="1498"/>
      <c r="D175" s="1468"/>
      <c r="E175" s="489"/>
      <c r="F175" s="489"/>
      <c r="G175" s="489"/>
      <c r="H175" s="591"/>
      <c r="I175" s="846" t="s">
        <v>493</v>
      </c>
      <c r="J175" s="141"/>
      <c r="K175" s="110"/>
      <c r="L175" s="110"/>
      <c r="M175" s="110"/>
      <c r="N175" s="110"/>
      <c r="O175" s="110"/>
      <c r="P175" s="110"/>
    </row>
    <row r="176" spans="1:16" s="940" customFormat="1" ht="25.5" x14ac:dyDescent="0.2">
      <c r="A176" s="1467"/>
      <c r="B176" s="1630"/>
      <c r="C176" s="1498"/>
      <c r="D176" s="1468"/>
      <c r="E176" s="489"/>
      <c r="F176" s="489"/>
      <c r="G176" s="489"/>
      <c r="H176" s="591"/>
      <c r="I176" s="846" t="s">
        <v>366</v>
      </c>
      <c r="J176" s="141"/>
      <c r="K176" s="110"/>
      <c r="L176" s="110"/>
      <c r="M176" s="110"/>
      <c r="N176" s="110"/>
      <c r="O176" s="110"/>
      <c r="P176" s="110"/>
    </row>
    <row r="177" spans="1:16" s="940" customFormat="1" ht="25.5" x14ac:dyDescent="0.2">
      <c r="A177" s="1467"/>
      <c r="B177" s="1630"/>
      <c r="C177" s="1498"/>
      <c r="D177" s="1468"/>
      <c r="E177" s="489"/>
      <c r="F177" s="489"/>
      <c r="G177" s="489"/>
      <c r="H177" s="591"/>
      <c r="I177" s="846" t="s">
        <v>1890</v>
      </c>
      <c r="J177" s="141"/>
      <c r="K177" s="110"/>
      <c r="L177" s="110"/>
      <c r="M177" s="110"/>
      <c r="N177" s="110"/>
      <c r="O177" s="110"/>
      <c r="P177" s="110"/>
    </row>
    <row r="178" spans="1:16" s="940" customFormat="1" ht="38.25" x14ac:dyDescent="0.2">
      <c r="A178" s="1467"/>
      <c r="B178" s="1630"/>
      <c r="C178" s="1498"/>
      <c r="D178" s="1468"/>
      <c r="E178" s="489"/>
      <c r="F178" s="489"/>
      <c r="G178" s="489"/>
      <c r="H178" s="591"/>
      <c r="I178" s="846" t="s">
        <v>367</v>
      </c>
      <c r="J178" s="141"/>
      <c r="K178" s="110"/>
      <c r="L178" s="110"/>
      <c r="M178" s="110"/>
      <c r="N178" s="110"/>
      <c r="O178" s="110"/>
      <c r="P178" s="110"/>
    </row>
    <row r="179" spans="1:16" s="940" customFormat="1" ht="38.25" x14ac:dyDescent="0.2">
      <c r="A179" s="1467"/>
      <c r="B179" s="1630"/>
      <c r="C179" s="1498"/>
      <c r="D179" s="1468"/>
      <c r="E179" s="489"/>
      <c r="F179" s="489"/>
      <c r="G179" s="489"/>
      <c r="H179" s="591"/>
      <c r="I179" s="846" t="s">
        <v>368</v>
      </c>
      <c r="J179" s="141"/>
      <c r="K179" s="110"/>
      <c r="L179" s="110"/>
      <c r="M179" s="110"/>
      <c r="N179" s="110"/>
      <c r="O179" s="110"/>
      <c r="P179" s="110"/>
    </row>
    <row r="180" spans="1:16" s="940" customFormat="1" ht="38.25" x14ac:dyDescent="0.2">
      <c r="A180" s="1467"/>
      <c r="B180" s="1630"/>
      <c r="C180" s="1498"/>
      <c r="D180" s="1468"/>
      <c r="E180" s="489"/>
      <c r="F180" s="489"/>
      <c r="G180" s="489"/>
      <c r="H180" s="591"/>
      <c r="I180" s="846" t="s">
        <v>1195</v>
      </c>
      <c r="J180" s="141"/>
      <c r="K180" s="110"/>
      <c r="L180" s="110"/>
      <c r="M180" s="110"/>
      <c r="N180" s="110"/>
      <c r="O180" s="110"/>
      <c r="P180" s="110"/>
    </row>
    <row r="181" spans="1:16" s="940" customFormat="1" ht="38.25" x14ac:dyDescent="0.2">
      <c r="A181" s="110"/>
      <c r="B181" s="588"/>
      <c r="C181" s="588"/>
      <c r="D181" s="588"/>
      <c r="E181" s="110"/>
      <c r="F181" s="110"/>
      <c r="G181" s="110"/>
      <c r="H181" s="1389"/>
      <c r="I181" s="846" t="s">
        <v>369</v>
      </c>
      <c r="J181" s="141"/>
      <c r="K181" s="110"/>
      <c r="L181" s="110"/>
      <c r="M181" s="110"/>
      <c r="N181" s="110"/>
      <c r="O181" s="110"/>
      <c r="P181" s="110"/>
    </row>
    <row r="182" spans="1:16" ht="40.5" customHeight="1" x14ac:dyDescent="0.2">
      <c r="A182" s="110"/>
      <c r="B182" s="588"/>
      <c r="C182" s="588"/>
      <c r="D182" s="588"/>
      <c r="E182" s="110"/>
      <c r="F182" s="110"/>
      <c r="G182" s="110"/>
      <c r="H182" s="1389"/>
      <c r="I182" s="1407" t="s">
        <v>1937</v>
      </c>
      <c r="J182" s="441"/>
    </row>
    <row r="183" spans="1:16" ht="38.25" x14ac:dyDescent="0.2">
      <c r="A183" s="110"/>
      <c r="B183" s="588"/>
      <c r="C183" s="588"/>
      <c r="D183" s="588"/>
      <c r="E183" s="110"/>
      <c r="F183" s="110"/>
      <c r="G183" s="110"/>
      <c r="H183" s="1389"/>
      <c r="I183" s="846" t="s">
        <v>371</v>
      </c>
      <c r="J183" s="441"/>
    </row>
    <row r="184" spans="1:16" ht="25.5" x14ac:dyDescent="0.2">
      <c r="A184" s="110"/>
      <c r="B184" s="110"/>
      <c r="C184" s="110"/>
      <c r="D184" s="110"/>
      <c r="E184" s="110"/>
      <c r="F184" s="110"/>
      <c r="G184" s="110"/>
      <c r="H184" s="1389"/>
      <c r="I184" s="846" t="s">
        <v>370</v>
      </c>
      <c r="J184" s="441"/>
    </row>
    <row r="185" spans="1:16" ht="25.5" x14ac:dyDescent="0.2">
      <c r="A185" s="110"/>
      <c r="B185" s="110"/>
      <c r="C185" s="110"/>
      <c r="D185" s="110"/>
      <c r="E185" s="110"/>
      <c r="F185" s="110"/>
      <c r="G185" s="110"/>
      <c r="H185" s="1389"/>
      <c r="I185" s="846" t="s">
        <v>1196</v>
      </c>
      <c r="J185" s="441"/>
    </row>
    <row r="186" spans="1:16" ht="25.5" x14ac:dyDescent="0.2">
      <c r="A186" s="110"/>
      <c r="B186" s="110"/>
      <c r="C186" s="110"/>
      <c r="D186" s="110"/>
      <c r="E186" s="110"/>
      <c r="F186" s="110"/>
      <c r="G186" s="110"/>
      <c r="H186" s="1389"/>
      <c r="I186" s="846" t="s">
        <v>372</v>
      </c>
      <c r="J186" s="441"/>
    </row>
    <row r="187" spans="1:16" ht="38.25" x14ac:dyDescent="0.2">
      <c r="A187" s="110"/>
      <c r="B187" s="110"/>
      <c r="C187" s="110"/>
      <c r="D187" s="110"/>
      <c r="E187" s="110"/>
      <c r="F187" s="110"/>
      <c r="G187" s="110"/>
      <c r="H187" s="1389"/>
      <c r="I187" s="846" t="s">
        <v>1340</v>
      </c>
      <c r="J187" s="441"/>
    </row>
    <row r="188" spans="1:16" ht="38.25" x14ac:dyDescent="0.2">
      <c r="A188" s="110"/>
      <c r="B188" s="110"/>
      <c r="C188" s="110"/>
      <c r="D188" s="110"/>
      <c r="E188" s="110"/>
      <c r="F188" s="110"/>
      <c r="G188" s="110"/>
      <c r="H188" s="1389"/>
      <c r="I188" s="846" t="s">
        <v>373</v>
      </c>
      <c r="J188" s="441"/>
    </row>
    <row r="189" spans="1:16" ht="51" x14ac:dyDescent="0.2">
      <c r="A189" s="110"/>
      <c r="B189" s="110"/>
      <c r="C189" s="110"/>
      <c r="D189" s="110"/>
      <c r="E189" s="110"/>
      <c r="F189" s="110"/>
      <c r="G189" s="110"/>
      <c r="H189" s="1389"/>
      <c r="I189" s="848" t="s">
        <v>1871</v>
      </c>
      <c r="J189" s="441"/>
    </row>
    <row r="190" spans="1:16" ht="38.25" x14ac:dyDescent="0.2">
      <c r="A190" s="110"/>
      <c r="B190" s="110"/>
      <c r="C190" s="110"/>
      <c r="D190" s="110"/>
      <c r="E190" s="110"/>
      <c r="F190" s="110"/>
      <c r="G190" s="110"/>
      <c r="H190" s="1389"/>
      <c r="I190" s="1407" t="s">
        <v>1938</v>
      </c>
      <c r="J190" s="441"/>
    </row>
    <row r="191" spans="1:16" ht="25.5" x14ac:dyDescent="0.2">
      <c r="A191" s="110"/>
      <c r="B191" s="110"/>
      <c r="C191" s="110"/>
      <c r="D191" s="110"/>
      <c r="E191" s="110"/>
      <c r="F191" s="110"/>
      <c r="G191" s="110"/>
      <c r="H191" s="1389"/>
      <c r="I191" s="1407" t="s">
        <v>1939</v>
      </c>
      <c r="J191" s="441"/>
    </row>
    <row r="192" spans="1:16" ht="38.25" x14ac:dyDescent="0.2">
      <c r="A192" s="110"/>
      <c r="B192" s="110"/>
      <c r="C192" s="110"/>
      <c r="D192" s="110"/>
      <c r="E192" s="110"/>
      <c r="F192" s="110"/>
      <c r="G192" s="110"/>
      <c r="H192" s="1389"/>
      <c r="I192" s="1407" t="s">
        <v>2035</v>
      </c>
      <c r="J192" s="441"/>
    </row>
    <row r="193" spans="1:10" ht="38.25" x14ac:dyDescent="0.2">
      <c r="A193" s="110"/>
      <c r="B193" s="110"/>
      <c r="C193" s="110"/>
      <c r="D193" s="110"/>
      <c r="E193" s="110"/>
      <c r="F193" s="110"/>
      <c r="G193" s="110"/>
      <c r="H193" s="1389"/>
      <c r="I193" s="846" t="s">
        <v>374</v>
      </c>
      <c r="J193" s="441"/>
    </row>
    <row r="194" spans="1:10" ht="25.5" x14ac:dyDescent="0.2">
      <c r="A194" s="110"/>
      <c r="B194" s="110"/>
      <c r="C194" s="110"/>
      <c r="D194" s="110"/>
      <c r="E194" s="110"/>
      <c r="F194" s="110"/>
      <c r="G194" s="110"/>
      <c r="H194" s="1389"/>
      <c r="I194" s="1407" t="s">
        <v>1940</v>
      </c>
      <c r="J194" s="441"/>
    </row>
    <row r="195" spans="1:10" ht="38.25" x14ac:dyDescent="0.2">
      <c r="A195" s="110"/>
      <c r="B195" s="110"/>
      <c r="C195" s="110"/>
      <c r="D195" s="110"/>
      <c r="E195" s="110"/>
      <c r="F195" s="110"/>
      <c r="G195" s="110"/>
      <c r="H195" s="1389"/>
      <c r="I195" s="846" t="s">
        <v>375</v>
      </c>
      <c r="J195" s="441"/>
    </row>
    <row r="196" spans="1:10" ht="51" x14ac:dyDescent="0.2">
      <c r="A196" s="110"/>
      <c r="B196" s="110"/>
      <c r="C196" s="110"/>
      <c r="D196" s="110"/>
      <c r="E196" s="110"/>
      <c r="F196" s="110"/>
      <c r="G196" s="110"/>
      <c r="H196" s="1389"/>
      <c r="I196" s="846" t="s">
        <v>1891</v>
      </c>
      <c r="J196" s="441"/>
    </row>
    <row r="197" spans="1:10" ht="25.5" x14ac:dyDescent="0.2">
      <c r="A197" s="110"/>
      <c r="B197" s="110"/>
      <c r="C197" s="110"/>
      <c r="D197" s="110"/>
      <c r="E197" s="110"/>
      <c r="F197" s="110"/>
      <c r="G197" s="110"/>
      <c r="H197" s="1389"/>
      <c r="I197" s="846" t="s">
        <v>377</v>
      </c>
      <c r="J197" s="441"/>
    </row>
    <row r="198" spans="1:10" ht="38.25" x14ac:dyDescent="0.2">
      <c r="A198" s="110"/>
      <c r="B198" s="110"/>
      <c r="C198" s="110"/>
      <c r="D198" s="110"/>
      <c r="E198" s="110"/>
      <c r="F198" s="110"/>
      <c r="G198" s="110"/>
      <c r="H198" s="1389"/>
      <c r="I198" s="846" t="s">
        <v>376</v>
      </c>
      <c r="J198" s="441"/>
    </row>
    <row r="199" spans="1:10" ht="25.5" x14ac:dyDescent="0.2">
      <c r="A199" s="110"/>
      <c r="B199" s="110"/>
      <c r="C199" s="110"/>
      <c r="D199" s="110"/>
      <c r="E199" s="110"/>
      <c r="F199" s="110"/>
      <c r="G199" s="110"/>
      <c r="H199" s="1389"/>
      <c r="I199" s="846" t="s">
        <v>378</v>
      </c>
      <c r="J199" s="441"/>
    </row>
    <row r="200" spans="1:10" ht="38.25" x14ac:dyDescent="0.2">
      <c r="A200" s="110"/>
      <c r="B200" s="110"/>
      <c r="C200" s="110"/>
      <c r="D200" s="110"/>
      <c r="E200" s="110"/>
      <c r="F200" s="110"/>
      <c r="G200" s="110"/>
      <c r="H200" s="1389"/>
      <c r="I200" s="1407" t="s">
        <v>1941</v>
      </c>
      <c r="J200" s="441"/>
    </row>
    <row r="201" spans="1:10" ht="63.75" x14ac:dyDescent="0.2">
      <c r="A201" s="110"/>
      <c r="B201" s="110"/>
      <c r="C201" s="110"/>
      <c r="D201" s="110"/>
      <c r="E201" s="110"/>
      <c r="F201" s="110"/>
      <c r="G201" s="110"/>
      <c r="H201" s="1389"/>
      <c r="I201" s="848" t="s">
        <v>1892</v>
      </c>
      <c r="J201" s="441"/>
    </row>
    <row r="202" spans="1:10" ht="43.5" customHeight="1" x14ac:dyDescent="0.2">
      <c r="A202" s="110"/>
      <c r="B202" s="110"/>
      <c r="C202" s="110"/>
      <c r="D202" s="110"/>
      <c r="E202" s="110"/>
      <c r="F202" s="110"/>
      <c r="G202" s="110"/>
      <c r="H202" s="1389"/>
      <c r="I202" s="846" t="s">
        <v>1893</v>
      </c>
      <c r="J202" s="441"/>
    </row>
    <row r="203" spans="1:10" ht="38.25" x14ac:dyDescent="0.2">
      <c r="A203" s="110"/>
      <c r="B203" s="110"/>
      <c r="C203" s="110"/>
      <c r="D203" s="110"/>
      <c r="E203" s="110"/>
      <c r="F203" s="110"/>
      <c r="G203" s="110"/>
      <c r="H203" s="1389"/>
      <c r="I203" s="846" t="s">
        <v>1894</v>
      </c>
      <c r="J203" s="441"/>
    </row>
    <row r="204" spans="1:10" ht="38.25" x14ac:dyDescent="0.2">
      <c r="A204" s="110"/>
      <c r="B204" s="110"/>
      <c r="C204" s="110"/>
      <c r="D204" s="110"/>
      <c r="E204" s="110"/>
      <c r="F204" s="110"/>
      <c r="G204" s="110"/>
      <c r="H204" s="1389"/>
      <c r="I204" s="846" t="s">
        <v>1197</v>
      </c>
      <c r="J204" s="441"/>
    </row>
    <row r="205" spans="1:10" ht="26.25" customHeight="1" x14ac:dyDescent="0.2">
      <c r="A205" s="110"/>
      <c r="B205" s="110"/>
      <c r="C205" s="110"/>
      <c r="D205" s="110"/>
      <c r="E205" s="110"/>
      <c r="F205" s="110"/>
      <c r="G205" s="110"/>
      <c r="H205" s="1389"/>
      <c r="I205" s="846" t="s">
        <v>1194</v>
      </c>
      <c r="J205" s="441"/>
    </row>
    <row r="206" spans="1:10" ht="25.5" x14ac:dyDescent="0.2">
      <c r="A206" s="110"/>
      <c r="B206" s="110"/>
      <c r="C206" s="110"/>
      <c r="D206" s="110"/>
      <c r="E206" s="110"/>
      <c r="F206" s="110"/>
      <c r="G206" s="110"/>
      <c r="H206" s="1389"/>
      <c r="I206" s="1407" t="s">
        <v>1942</v>
      </c>
      <c r="J206" s="441"/>
    </row>
    <row r="207" spans="1:10" ht="51" x14ac:dyDescent="0.2">
      <c r="A207" s="110"/>
      <c r="B207" s="110"/>
      <c r="C207" s="110"/>
      <c r="D207" s="110"/>
      <c r="E207" s="110"/>
      <c r="F207" s="110"/>
      <c r="G207" s="110"/>
      <c r="H207" s="1389"/>
      <c r="I207" s="1407" t="s">
        <v>2042</v>
      </c>
      <c r="J207" s="441"/>
    </row>
    <row r="208" spans="1:10" ht="38.25" x14ac:dyDescent="0.2">
      <c r="A208" s="110"/>
      <c r="B208" s="110"/>
      <c r="C208" s="110"/>
      <c r="D208" s="110"/>
      <c r="E208" s="110"/>
      <c r="F208" s="110"/>
      <c r="G208" s="110"/>
      <c r="H208" s="1389"/>
      <c r="I208" s="1407" t="s">
        <v>1943</v>
      </c>
      <c r="J208" s="441"/>
    </row>
    <row r="209" spans="1:10" ht="38.25" x14ac:dyDescent="0.2">
      <c r="A209" s="110"/>
      <c r="B209" s="110"/>
      <c r="C209" s="110"/>
      <c r="D209" s="110"/>
      <c r="E209" s="110"/>
      <c r="F209" s="110"/>
      <c r="G209" s="110"/>
      <c r="H209" s="1389"/>
      <c r="I209" s="846" t="s">
        <v>379</v>
      </c>
      <c r="J209" s="441"/>
    </row>
    <row r="210" spans="1:10" ht="25.5" x14ac:dyDescent="0.2">
      <c r="A210" s="110"/>
      <c r="B210" s="110"/>
      <c r="C210" s="110"/>
      <c r="D210" s="110"/>
      <c r="E210" s="110"/>
      <c r="F210" s="110"/>
      <c r="G210" s="110"/>
      <c r="H210" s="1389"/>
      <c r="I210" s="846" t="s">
        <v>380</v>
      </c>
      <c r="J210" s="441"/>
    </row>
    <row r="211" spans="1:10" ht="25.5" x14ac:dyDescent="0.2">
      <c r="A211" s="110"/>
      <c r="B211" s="110"/>
      <c r="C211" s="110"/>
      <c r="D211" s="110"/>
      <c r="E211" s="110"/>
      <c r="F211" s="110"/>
      <c r="G211" s="110"/>
      <c r="H211" s="1389"/>
      <c r="I211" s="846" t="s">
        <v>1895</v>
      </c>
      <c r="J211" s="441"/>
    </row>
    <row r="212" spans="1:10" ht="38.25" x14ac:dyDescent="0.2">
      <c r="A212" s="110"/>
      <c r="B212" s="110"/>
      <c r="C212" s="110"/>
      <c r="D212" s="110"/>
      <c r="E212" s="110"/>
      <c r="F212" s="110"/>
      <c r="G212" s="110"/>
      <c r="H212" s="1389"/>
      <c r="I212" s="846" t="s">
        <v>382</v>
      </c>
      <c r="J212" s="441"/>
    </row>
    <row r="213" spans="1:10" ht="38.25" x14ac:dyDescent="0.2">
      <c r="A213" s="110"/>
      <c r="B213" s="110"/>
      <c r="C213" s="110"/>
      <c r="D213" s="110"/>
      <c r="E213" s="110"/>
      <c r="F213" s="110"/>
      <c r="G213" s="110"/>
      <c r="H213" s="1389"/>
      <c r="I213" s="846" t="s">
        <v>383</v>
      </c>
      <c r="J213" s="441"/>
    </row>
    <row r="214" spans="1:10" ht="38.25" x14ac:dyDescent="0.2">
      <c r="A214" s="110"/>
      <c r="B214" s="110"/>
      <c r="C214" s="110"/>
      <c r="D214" s="110"/>
      <c r="E214" s="110"/>
      <c r="F214" s="110"/>
      <c r="G214" s="110"/>
      <c r="H214" s="1389"/>
      <c r="I214" s="846" t="s">
        <v>1193</v>
      </c>
      <c r="J214" s="441"/>
    </row>
    <row r="215" spans="1:10" ht="25.5" x14ac:dyDescent="0.2">
      <c r="A215" s="110"/>
      <c r="B215" s="110"/>
      <c r="C215" s="110"/>
      <c r="D215" s="110"/>
      <c r="E215" s="110"/>
      <c r="F215" s="110"/>
      <c r="G215" s="110"/>
      <c r="H215" s="1389"/>
      <c r="I215" s="1407" t="s">
        <v>1944</v>
      </c>
      <c r="J215" s="441"/>
    </row>
    <row r="216" spans="1:10" ht="25.5" x14ac:dyDescent="0.2">
      <c r="A216" s="110"/>
      <c r="B216" s="110"/>
      <c r="C216" s="110"/>
      <c r="D216" s="110"/>
      <c r="E216" s="110"/>
      <c r="F216" s="110"/>
      <c r="G216" s="110"/>
      <c r="H216" s="1389"/>
      <c r="I216" s="846" t="s">
        <v>384</v>
      </c>
      <c r="J216" s="441"/>
    </row>
    <row r="217" spans="1:10" ht="38.25" x14ac:dyDescent="0.2">
      <c r="A217" s="110"/>
      <c r="B217" s="110"/>
      <c r="C217" s="110"/>
      <c r="D217" s="110"/>
      <c r="E217" s="110"/>
      <c r="F217" s="110"/>
      <c r="G217" s="110"/>
      <c r="H217" s="1389"/>
      <c r="I217" s="846" t="s">
        <v>385</v>
      </c>
      <c r="J217" s="441"/>
    </row>
    <row r="218" spans="1:10" ht="25.5" x14ac:dyDescent="0.2">
      <c r="A218" s="110"/>
      <c r="B218" s="110"/>
      <c r="C218" s="110"/>
      <c r="D218" s="110"/>
      <c r="E218" s="110"/>
      <c r="F218" s="110"/>
      <c r="G218" s="110"/>
      <c r="H218" s="1389"/>
      <c r="I218" s="846" t="s">
        <v>386</v>
      </c>
      <c r="J218" s="441"/>
    </row>
    <row r="219" spans="1:10" ht="38.25" x14ac:dyDescent="0.2">
      <c r="A219" s="110"/>
      <c r="B219" s="110"/>
      <c r="C219" s="110"/>
      <c r="D219" s="110"/>
      <c r="E219" s="110"/>
      <c r="F219" s="110"/>
      <c r="G219" s="110"/>
      <c r="H219" s="1389"/>
      <c r="I219" s="846" t="s">
        <v>387</v>
      </c>
      <c r="J219" s="441"/>
    </row>
    <row r="220" spans="1:10" ht="51" x14ac:dyDescent="0.2">
      <c r="A220" s="110"/>
      <c r="B220" s="110"/>
      <c r="C220" s="110"/>
      <c r="D220" s="110"/>
      <c r="E220" s="110"/>
      <c r="F220" s="110"/>
      <c r="G220" s="110"/>
      <c r="H220" s="1389"/>
      <c r="I220" s="846" t="s">
        <v>1245</v>
      </c>
      <c r="J220" s="441"/>
    </row>
    <row r="221" spans="1:10" ht="25.5" x14ac:dyDescent="0.2">
      <c r="A221" s="110"/>
      <c r="B221" s="110"/>
      <c r="C221" s="110"/>
      <c r="D221" s="110"/>
      <c r="E221" s="110"/>
      <c r="F221" s="110"/>
      <c r="G221" s="110"/>
      <c r="H221" s="1389"/>
      <c r="I221" s="846" t="s">
        <v>388</v>
      </c>
      <c r="J221" s="441"/>
    </row>
    <row r="222" spans="1:10" ht="38.25" x14ac:dyDescent="0.2">
      <c r="A222" s="110"/>
      <c r="B222" s="110"/>
      <c r="C222" s="110"/>
      <c r="D222" s="110"/>
      <c r="E222" s="110"/>
      <c r="F222" s="110"/>
      <c r="G222" s="110"/>
      <c r="H222" s="1389"/>
      <c r="I222" s="846" t="s">
        <v>2043</v>
      </c>
      <c r="J222" s="441"/>
    </row>
    <row r="223" spans="1:10" ht="38.25" x14ac:dyDescent="0.2">
      <c r="A223" s="110"/>
      <c r="B223" s="110"/>
      <c r="C223" s="110"/>
      <c r="D223" s="110"/>
      <c r="E223" s="110"/>
      <c r="F223" s="110"/>
      <c r="G223" s="110"/>
      <c r="H223" s="1389"/>
      <c r="I223" s="846" t="s">
        <v>389</v>
      </c>
      <c r="J223" s="441"/>
    </row>
    <row r="224" spans="1:10" ht="25.5" x14ac:dyDescent="0.2">
      <c r="A224" s="110"/>
      <c r="B224" s="110"/>
      <c r="C224" s="110"/>
      <c r="D224" s="110"/>
      <c r="E224" s="110"/>
      <c r="F224" s="110"/>
      <c r="G224" s="110"/>
      <c r="H224" s="1389"/>
      <c r="I224" s="846" t="s">
        <v>390</v>
      </c>
      <c r="J224" s="441"/>
    </row>
    <row r="225" spans="1:10" ht="38.25" x14ac:dyDescent="0.2">
      <c r="A225" s="110"/>
      <c r="B225" s="110"/>
      <c r="C225" s="110"/>
      <c r="D225" s="110"/>
      <c r="E225" s="110"/>
      <c r="F225" s="110"/>
      <c r="G225" s="110"/>
      <c r="H225" s="110"/>
      <c r="I225" s="846" t="s">
        <v>1896</v>
      </c>
      <c r="J225" s="441"/>
    </row>
    <row r="226" spans="1:10" ht="25.5" x14ac:dyDescent="0.2">
      <c r="A226" s="110"/>
      <c r="B226" s="110"/>
      <c r="C226" s="110"/>
      <c r="D226" s="110"/>
      <c r="E226" s="110"/>
      <c r="F226" s="110"/>
      <c r="G226" s="110"/>
      <c r="H226" s="110"/>
      <c r="I226" s="846" t="s">
        <v>391</v>
      </c>
      <c r="J226" s="441"/>
    </row>
    <row r="227" spans="1:10" ht="25.5" x14ac:dyDescent="0.2">
      <c r="A227" s="110"/>
      <c r="B227" s="110"/>
      <c r="C227" s="110"/>
      <c r="D227" s="110"/>
      <c r="E227" s="110"/>
      <c r="F227" s="110"/>
      <c r="G227" s="110"/>
      <c r="H227" s="110"/>
      <c r="I227" s="846" t="s">
        <v>392</v>
      </c>
      <c r="J227" s="441"/>
    </row>
    <row r="228" spans="1:10" ht="38.25" x14ac:dyDescent="0.2">
      <c r="A228" s="110"/>
      <c r="B228" s="110"/>
      <c r="C228" s="110"/>
      <c r="D228" s="110"/>
      <c r="E228" s="110"/>
      <c r="F228" s="110"/>
      <c r="G228" s="110"/>
      <c r="H228" s="110"/>
      <c r="I228" s="846" t="s">
        <v>1897</v>
      </c>
      <c r="J228" s="441"/>
    </row>
    <row r="229" spans="1:10" ht="25.5" x14ac:dyDescent="0.2">
      <c r="A229" s="110"/>
      <c r="B229" s="110"/>
      <c r="C229" s="110"/>
      <c r="D229" s="110"/>
      <c r="E229" s="110"/>
      <c r="F229" s="110"/>
      <c r="G229" s="110"/>
      <c r="H229" s="110"/>
      <c r="I229" s="1407" t="s">
        <v>1945</v>
      </c>
      <c r="J229" s="441"/>
    </row>
    <row r="230" spans="1:10" ht="38.25" x14ac:dyDescent="0.2">
      <c r="A230" s="110"/>
      <c r="B230" s="110"/>
      <c r="C230" s="110"/>
      <c r="D230" s="110"/>
      <c r="E230" s="110"/>
      <c r="F230" s="110"/>
      <c r="G230" s="110"/>
      <c r="H230" s="110"/>
      <c r="I230" s="846" t="s">
        <v>1258</v>
      </c>
      <c r="J230" s="441"/>
    </row>
    <row r="231" spans="1:10" ht="25.5" x14ac:dyDescent="0.2">
      <c r="A231" s="110"/>
      <c r="B231" s="110"/>
      <c r="C231" s="110"/>
      <c r="D231" s="110"/>
      <c r="E231" s="110"/>
      <c r="F231" s="110"/>
      <c r="G231" s="110"/>
      <c r="H231" s="110"/>
      <c r="I231" s="846" t="s">
        <v>393</v>
      </c>
      <c r="J231" s="441"/>
    </row>
    <row r="232" spans="1:10" ht="51" x14ac:dyDescent="0.2">
      <c r="A232" s="110"/>
      <c r="B232" s="110"/>
      <c r="C232" s="110"/>
      <c r="D232" s="110"/>
      <c r="E232" s="110"/>
      <c r="F232" s="110"/>
      <c r="G232" s="110"/>
      <c r="H232" s="110"/>
      <c r="I232" s="846" t="s">
        <v>394</v>
      </c>
      <c r="J232" s="441"/>
    </row>
    <row r="233" spans="1:10" ht="38.25" x14ac:dyDescent="0.2">
      <c r="A233" s="110"/>
      <c r="B233" s="110"/>
      <c r="C233" s="110"/>
      <c r="D233" s="110"/>
      <c r="E233" s="110"/>
      <c r="F233" s="110"/>
      <c r="G233" s="110"/>
      <c r="H233" s="110"/>
      <c r="I233" s="1407" t="s">
        <v>1946</v>
      </c>
      <c r="J233" s="441"/>
    </row>
    <row r="234" spans="1:10" ht="38.25" x14ac:dyDescent="0.2">
      <c r="A234" s="110"/>
      <c r="B234" s="110"/>
      <c r="C234" s="110"/>
      <c r="D234" s="110"/>
      <c r="E234" s="110"/>
      <c r="F234" s="110"/>
      <c r="G234" s="110"/>
      <c r="H234" s="110"/>
      <c r="I234" s="933" t="s">
        <v>1247</v>
      </c>
      <c r="J234" s="441"/>
    </row>
    <row r="235" spans="1:10" ht="38.25" x14ac:dyDescent="0.2">
      <c r="A235" s="110"/>
      <c r="B235" s="110"/>
      <c r="C235" s="110"/>
      <c r="D235" s="110"/>
      <c r="E235" s="110"/>
      <c r="F235" s="110"/>
      <c r="G235" s="110"/>
      <c r="H235" s="110"/>
      <c r="I235" s="738" t="s">
        <v>2036</v>
      </c>
      <c r="J235" s="441"/>
    </row>
    <row r="236" spans="1:10" ht="38.25" x14ac:dyDescent="0.2">
      <c r="A236" s="110"/>
      <c r="B236" s="110"/>
      <c r="C236" s="110"/>
      <c r="D236" s="110"/>
      <c r="E236" s="110"/>
      <c r="F236" s="110"/>
      <c r="G236" s="110"/>
      <c r="H236" s="110"/>
      <c r="I236" s="846" t="s">
        <v>1898</v>
      </c>
      <c r="J236" s="441"/>
    </row>
    <row r="237" spans="1:10" ht="38.25" x14ac:dyDescent="0.2">
      <c r="A237" s="110"/>
      <c r="B237" s="110"/>
      <c r="C237" s="110"/>
      <c r="D237" s="110"/>
      <c r="E237" s="110"/>
      <c r="F237" s="110"/>
      <c r="G237" s="110"/>
      <c r="H237" s="110"/>
      <c r="I237" s="846" t="s">
        <v>1899</v>
      </c>
      <c r="J237" s="441"/>
    </row>
    <row r="238" spans="1:10" ht="38.25" x14ac:dyDescent="0.2">
      <c r="A238" s="110"/>
      <c r="B238" s="110"/>
      <c r="C238" s="110"/>
      <c r="D238" s="110"/>
      <c r="E238" s="110"/>
      <c r="F238" s="110"/>
      <c r="G238" s="110"/>
      <c r="H238" s="110"/>
      <c r="I238" s="846" t="s">
        <v>397</v>
      </c>
      <c r="J238" s="441"/>
    </row>
    <row r="239" spans="1:10" ht="38.25" x14ac:dyDescent="0.2">
      <c r="A239" s="110"/>
      <c r="B239" s="110"/>
      <c r="C239" s="110"/>
      <c r="D239" s="110"/>
      <c r="E239" s="110"/>
      <c r="F239" s="110"/>
      <c r="G239" s="110"/>
      <c r="H239" s="110"/>
      <c r="I239" s="846" t="s">
        <v>396</v>
      </c>
      <c r="J239" s="441"/>
    </row>
    <row r="240" spans="1:10" ht="25.5" x14ac:dyDescent="0.2">
      <c r="A240" s="110"/>
      <c r="B240" s="110"/>
      <c r="C240" s="110"/>
      <c r="D240" s="110"/>
      <c r="E240" s="110"/>
      <c r="F240" s="110"/>
      <c r="G240" s="110"/>
      <c r="H240" s="110"/>
      <c r="I240" s="846" t="s">
        <v>398</v>
      </c>
      <c r="J240" s="441"/>
    </row>
    <row r="241" spans="1:10" ht="38.25" x14ac:dyDescent="0.2">
      <c r="A241" s="110"/>
      <c r="B241" s="110"/>
      <c r="C241" s="110"/>
      <c r="D241" s="110"/>
      <c r="E241" s="110"/>
      <c r="F241" s="110"/>
      <c r="G241" s="110"/>
      <c r="H241" s="110"/>
      <c r="I241" s="846" t="s">
        <v>399</v>
      </c>
      <c r="J241" s="441"/>
    </row>
    <row r="242" spans="1:10" ht="29.25" customHeight="1" x14ac:dyDescent="0.2">
      <c r="A242" s="110"/>
      <c r="B242" s="110"/>
      <c r="C242" s="110"/>
      <c r="D242" s="110"/>
      <c r="E242" s="110"/>
      <c r="F242" s="110"/>
      <c r="G242" s="110"/>
      <c r="H242" s="110"/>
      <c r="I242" s="846" t="s">
        <v>1900</v>
      </c>
      <c r="J242" s="441"/>
    </row>
    <row r="243" spans="1:10" ht="38.25" x14ac:dyDescent="0.2">
      <c r="A243" s="110"/>
      <c r="B243" s="110"/>
      <c r="C243" s="110"/>
      <c r="D243" s="110"/>
      <c r="E243" s="110"/>
      <c r="F243" s="110"/>
      <c r="G243" s="110"/>
      <c r="H243" s="110"/>
      <c r="I243" s="846" t="s">
        <v>1901</v>
      </c>
      <c r="J243" s="441"/>
    </row>
    <row r="244" spans="1:10" ht="38.25" x14ac:dyDescent="0.2">
      <c r="C244" s="5"/>
      <c r="H244" s="119"/>
      <c r="I244" s="846" t="s">
        <v>400</v>
      </c>
      <c r="J244" s="441"/>
    </row>
    <row r="245" spans="1:10" ht="25.5" x14ac:dyDescent="0.2">
      <c r="C245" s="5"/>
      <c r="H245" s="119"/>
      <c r="I245" s="846" t="s">
        <v>401</v>
      </c>
      <c r="J245" s="441"/>
    </row>
    <row r="246" spans="1:10" ht="30" customHeight="1" x14ac:dyDescent="0.2">
      <c r="C246" s="5"/>
      <c r="H246" s="119"/>
      <c r="I246" s="846" t="s">
        <v>402</v>
      </c>
      <c r="J246" s="441"/>
    </row>
    <row r="247" spans="1:10" ht="25.5" x14ac:dyDescent="0.2">
      <c r="C247" s="5"/>
      <c r="H247" s="119"/>
      <c r="I247" s="848" t="s">
        <v>1246</v>
      </c>
      <c r="J247" s="441"/>
    </row>
    <row r="248" spans="1:10" ht="26.25" thickBot="1" x14ac:dyDescent="0.25">
      <c r="C248" s="5"/>
      <c r="H248" s="119"/>
      <c r="I248" s="125" t="s">
        <v>403</v>
      </c>
      <c r="J248" s="441"/>
    </row>
    <row r="249" spans="1:10" x14ac:dyDescent="0.2">
      <c r="C249" s="5"/>
      <c r="H249" s="119"/>
      <c r="J249" s="441"/>
    </row>
    <row r="250" spans="1:10" x14ac:dyDescent="0.2">
      <c r="C250" s="5"/>
      <c r="H250" s="119"/>
      <c r="J250" s="441"/>
    </row>
    <row r="251" spans="1:10" x14ac:dyDescent="0.2">
      <c r="C251" s="5"/>
      <c r="H251" s="119"/>
      <c r="J251" s="441"/>
    </row>
    <row r="252" spans="1:10" x14ac:dyDescent="0.2">
      <c r="C252" s="5"/>
      <c r="H252" s="119"/>
      <c r="J252" s="441"/>
    </row>
    <row r="253" spans="1:10" x14ac:dyDescent="0.2">
      <c r="C253" s="5"/>
      <c r="H253" s="119"/>
      <c r="J253" s="441"/>
    </row>
    <row r="254" spans="1:10" x14ac:dyDescent="0.2">
      <c r="C254" s="5"/>
      <c r="H254" s="119"/>
      <c r="J254" s="441"/>
    </row>
    <row r="255" spans="1:10" x14ac:dyDescent="0.2">
      <c r="C255" s="5"/>
      <c r="H255" s="119"/>
      <c r="J255" s="441"/>
    </row>
    <row r="256" spans="1:10" x14ac:dyDescent="0.2">
      <c r="C256" s="5"/>
      <c r="H256" s="119"/>
      <c r="J256" s="441"/>
    </row>
    <row r="257" spans="1:10" x14ac:dyDescent="0.2">
      <c r="C257" s="5"/>
      <c r="H257" s="119"/>
      <c r="J257" s="441"/>
    </row>
    <row r="258" spans="1:10" x14ac:dyDescent="0.2">
      <c r="C258" s="5"/>
      <c r="H258" s="119"/>
      <c r="J258" s="441"/>
    </row>
    <row r="259" spans="1:10" x14ac:dyDescent="0.2">
      <c r="C259" s="5"/>
      <c r="H259" s="119"/>
      <c r="J259" s="441"/>
    </row>
    <row r="260" spans="1:10" x14ac:dyDescent="0.2">
      <c r="C260" s="5"/>
      <c r="H260" s="119"/>
      <c r="J260" s="441"/>
    </row>
    <row r="261" spans="1:10" x14ac:dyDescent="0.2">
      <c r="C261" s="5"/>
      <c r="H261" s="119"/>
    </row>
    <row r="262" spans="1:10" x14ac:dyDescent="0.2">
      <c r="C262" s="5"/>
      <c r="H262" s="119"/>
    </row>
    <row r="263" spans="1:10" x14ac:dyDescent="0.2">
      <c r="H263" s="119"/>
    </row>
    <row r="264" spans="1:10" s="940" customFormat="1" x14ac:dyDescent="0.2">
      <c r="A264" s="135"/>
      <c r="B264" s="110"/>
      <c r="C264" s="136"/>
      <c r="D264" s="579"/>
      <c r="E264" s="579"/>
      <c r="F264" s="579"/>
      <c r="G264" s="230"/>
      <c r="H264" s="119"/>
      <c r="I264" s="25"/>
      <c r="J264" s="573"/>
    </row>
    <row r="265" spans="1:10" s="940" customFormat="1" x14ac:dyDescent="0.2">
      <c r="A265" s="135"/>
      <c r="B265" s="110"/>
      <c r="C265" s="136"/>
      <c r="D265" s="579"/>
      <c r="E265" s="579"/>
      <c r="F265" s="579"/>
      <c r="G265" s="230"/>
      <c r="H265" s="119"/>
      <c r="I265" s="25"/>
      <c r="J265" s="573"/>
    </row>
    <row r="266" spans="1:10" s="940" customFormat="1" x14ac:dyDescent="0.2">
      <c r="A266" s="135"/>
      <c r="B266" s="110"/>
      <c r="C266" s="136"/>
      <c r="D266" s="579"/>
      <c r="E266" s="579"/>
      <c r="F266" s="579"/>
      <c r="G266" s="230"/>
      <c r="H266" s="115"/>
      <c r="I266" s="25"/>
      <c r="J266" s="573"/>
    </row>
    <row r="267" spans="1:10" s="940" customFormat="1" x14ac:dyDescent="0.2">
      <c r="A267" s="135"/>
      <c r="B267" s="110"/>
      <c r="C267" s="136"/>
      <c r="D267" s="579"/>
      <c r="E267" s="579"/>
      <c r="F267" s="579"/>
      <c r="G267" s="230"/>
      <c r="H267" s="115"/>
      <c r="I267" s="25"/>
      <c r="J267" s="573"/>
    </row>
  </sheetData>
  <sheetProtection password="C4B9" sheet="1" objects="1" scenarios="1"/>
  <sortState ref="I189:I272">
    <sortCondition ref="I189:I272"/>
  </sortState>
  <customSheetViews>
    <customSheetView guid="{B8E02330-2419-4DE6-AD01-7ACC7A5D18DD}" scale="80" topLeftCell="D35">
      <selection activeCell="J44" sqref="J44"/>
      <pageMargins left="0.75" right="0.75" top="1" bottom="1" header="0.5" footer="0.5"/>
      <pageSetup orientation="portrait" horizontalDpi="4294967294" r:id="rId1"/>
      <headerFooter alignWithMargins="0"/>
    </customSheetView>
  </customSheetViews>
  <mergeCells count="94">
    <mergeCell ref="B138:B142"/>
    <mergeCell ref="B131:B137"/>
    <mergeCell ref="A121:A126"/>
    <mergeCell ref="A131:A137"/>
    <mergeCell ref="I144:I145"/>
    <mergeCell ref="B144:B145"/>
    <mergeCell ref="A144:A145"/>
    <mergeCell ref="H144:H145"/>
    <mergeCell ref="A138:A142"/>
    <mergeCell ref="I138:I142"/>
    <mergeCell ref="H138:H142"/>
    <mergeCell ref="H131:H137"/>
    <mergeCell ref="A30:A35"/>
    <mergeCell ref="H86:H91"/>
    <mergeCell ref="H92:H98"/>
    <mergeCell ref="B36:B42"/>
    <mergeCell ref="A36:A42"/>
    <mergeCell ref="A86:A91"/>
    <mergeCell ref="B92:B98"/>
    <mergeCell ref="A83:A85"/>
    <mergeCell ref="A67:A70"/>
    <mergeCell ref="A52:A56"/>
    <mergeCell ref="B71:B76"/>
    <mergeCell ref="B77:B82"/>
    <mergeCell ref="B57:B59"/>
    <mergeCell ref="A63:A66"/>
    <mergeCell ref="B43:B51"/>
    <mergeCell ref="A43:A51"/>
    <mergeCell ref="A77:A82"/>
    <mergeCell ref="A113:A116"/>
    <mergeCell ref="H106:H112"/>
    <mergeCell ref="H113:H116"/>
    <mergeCell ref="B117:B120"/>
    <mergeCell ref="B99:B105"/>
    <mergeCell ref="B86:B91"/>
    <mergeCell ref="B63:B66"/>
    <mergeCell ref="B67:B70"/>
    <mergeCell ref="B83:B85"/>
    <mergeCell ref="B52:B56"/>
    <mergeCell ref="H23:H29"/>
    <mergeCell ref="I30:I35"/>
    <mergeCell ref="H57:H59"/>
    <mergeCell ref="I23:I29"/>
    <mergeCell ref="I67:I70"/>
    <mergeCell ref="I57:I59"/>
    <mergeCell ref="I60:I62"/>
    <mergeCell ref="H60:H62"/>
    <mergeCell ref="H43:H51"/>
    <mergeCell ref="I36:I42"/>
    <mergeCell ref="H52:H56"/>
    <mergeCell ref="H36:H42"/>
    <mergeCell ref="I52:I56"/>
    <mergeCell ref="A1:B1"/>
    <mergeCell ref="I106:I112"/>
    <mergeCell ref="I43:I51"/>
    <mergeCell ref="I99:I105"/>
    <mergeCell ref="A23:A29"/>
    <mergeCell ref="B30:B35"/>
    <mergeCell ref="H30:H35"/>
    <mergeCell ref="B106:B112"/>
    <mergeCell ref="A92:A98"/>
    <mergeCell ref="A106:A112"/>
    <mergeCell ref="A99:A105"/>
    <mergeCell ref="B23:B29"/>
    <mergeCell ref="E1:I1"/>
    <mergeCell ref="H67:H70"/>
    <mergeCell ref="H71:H76"/>
    <mergeCell ref="H99:H105"/>
    <mergeCell ref="A71:A76"/>
    <mergeCell ref="A60:A62"/>
    <mergeCell ref="A57:A59"/>
    <mergeCell ref="I131:I137"/>
    <mergeCell ref="I77:I82"/>
    <mergeCell ref="I121:I126"/>
    <mergeCell ref="I127:I129"/>
    <mergeCell ref="I63:I66"/>
    <mergeCell ref="I113:I116"/>
    <mergeCell ref="I117:I120"/>
    <mergeCell ref="I83:I85"/>
    <mergeCell ref="H63:H66"/>
    <mergeCell ref="H83:H85"/>
    <mergeCell ref="H77:H82"/>
    <mergeCell ref="I71:I76"/>
    <mergeCell ref="B60:B62"/>
    <mergeCell ref="I86:I91"/>
    <mergeCell ref="I92:I98"/>
    <mergeCell ref="A117:A120"/>
    <mergeCell ref="B113:B116"/>
    <mergeCell ref="H127:H129"/>
    <mergeCell ref="H121:H126"/>
    <mergeCell ref="B127:B129"/>
    <mergeCell ref="A127:A129"/>
    <mergeCell ref="B121:B126"/>
    <mergeCell ref="H117:H120"/>
  </mergeCells>
  <phoneticPr fontId="12" type="noConversion"/>
  <pageMargins left="0.75" right="0.75" top="1" bottom="1" header="0.5" footer="0.5"/>
  <pageSetup orientation="portrait" horizontalDpi="4294967294" r:id="rId2"/>
  <headerFooter alignWithMargins="0"/>
  <ignoredErrors>
    <ignoredError sqref="G127"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R271"/>
  <sheetViews>
    <sheetView zoomScaleNormal="100" workbookViewId="0">
      <selection activeCell="C1" sqref="C1"/>
    </sheetView>
  </sheetViews>
  <sheetFormatPr defaultColWidth="9.33203125" defaultRowHeight="12.75" x14ac:dyDescent="0.2"/>
  <cols>
    <col min="1" max="1" width="5.83203125" style="1555" customWidth="1"/>
    <col min="2" max="2" width="18.83203125" style="25" customWidth="1"/>
    <col min="3" max="3" width="69.83203125" style="25" customWidth="1"/>
    <col min="4" max="4" width="6.83203125" style="574" customWidth="1"/>
    <col min="5" max="5" width="6.83203125" style="577" customWidth="1"/>
    <col min="6" max="6" width="6.83203125" style="574" customWidth="1"/>
    <col min="7" max="7" width="10.83203125" style="179" customWidth="1"/>
    <col min="8" max="8" width="14.33203125" style="25" customWidth="1"/>
    <col min="9" max="9" width="67.83203125" style="39" customWidth="1"/>
    <col min="10" max="10" width="9.33203125" style="153"/>
    <col min="11" max="16384" width="9.33203125" style="33"/>
  </cols>
  <sheetData>
    <row r="1" spans="1:96" s="64" customFormat="1" ht="87" customHeight="1" thickBot="1" x14ac:dyDescent="0.25">
      <c r="A1" s="2241" t="s">
        <v>2173</v>
      </c>
      <c r="B1" s="2242"/>
      <c r="C1" s="556" t="s">
        <v>821</v>
      </c>
      <c r="D1" s="557" t="s">
        <v>519</v>
      </c>
      <c r="E1" s="2083"/>
      <c r="F1" s="2084"/>
      <c r="G1" s="2084"/>
      <c r="H1" s="2084"/>
      <c r="I1" s="2085"/>
      <c r="J1" s="152"/>
    </row>
    <row r="2" spans="1:96" s="1014" customFormat="1" ht="50.25" thickBot="1" x14ac:dyDescent="0.25">
      <c r="A2" s="1008" t="s">
        <v>78</v>
      </c>
      <c r="B2" s="1009" t="s">
        <v>701</v>
      </c>
      <c r="C2" s="1010" t="s">
        <v>866</v>
      </c>
      <c r="D2" s="1008"/>
      <c r="E2" s="1011"/>
      <c r="F2" s="1012"/>
      <c r="G2" s="1013" t="s">
        <v>710</v>
      </c>
      <c r="H2" s="1009" t="s">
        <v>2028</v>
      </c>
      <c r="I2" s="1009" t="s">
        <v>255</v>
      </c>
    </row>
    <row r="3" spans="1:96" s="111" customFormat="1" ht="38.25" customHeight="1" thickBot="1" x14ac:dyDescent="0.25">
      <c r="A3" s="418" t="str">
        <f>OF!A6</f>
        <v>OF5</v>
      </c>
      <c r="B3" s="323" t="str">
        <f>OF!C6</f>
        <v>Wetland Class Richness Within Wetland</v>
      </c>
      <c r="C3" s="447" t="s">
        <v>406</v>
      </c>
      <c r="D3" s="324"/>
      <c r="E3" s="325"/>
      <c r="F3" s="325"/>
      <c r="G3" s="345" t="str">
        <f>IF((ClassRichIn=""),"",ClassRichIn)</f>
        <v/>
      </c>
      <c r="H3" s="1360" t="s">
        <v>685</v>
      </c>
      <c r="I3" s="840" t="s">
        <v>915</v>
      </c>
      <c r="J3" s="146"/>
    </row>
    <row r="4" spans="1:96" s="111" customFormat="1" ht="45" customHeight="1" thickBot="1" x14ac:dyDescent="0.25">
      <c r="A4" s="317" t="str">
        <f>OF!A7</f>
        <v>OF6</v>
      </c>
      <c r="B4" s="318" t="str">
        <f>OF!C7</f>
        <v>Distance to Nearest Annual Cropland or Developed Land</v>
      </c>
      <c r="C4" s="479" t="s">
        <v>406</v>
      </c>
      <c r="D4" s="320"/>
      <c r="E4" s="321"/>
      <c r="F4" s="321"/>
      <c r="G4" s="330" t="str">
        <f>IF((Dist2DevCrop=""),"",Dist2DevCrop)</f>
        <v/>
      </c>
      <c r="H4" s="332" t="s">
        <v>802</v>
      </c>
      <c r="I4" s="831" t="s">
        <v>1902</v>
      </c>
      <c r="J4" s="146"/>
      <c r="L4" s="163"/>
    </row>
    <row r="5" spans="1:96" s="111" customFormat="1" ht="45" customHeight="1" thickBot="1" x14ac:dyDescent="0.25">
      <c r="A5" s="418" t="str">
        <f>OF!A9</f>
        <v>OF8</v>
      </c>
      <c r="B5" s="323" t="str">
        <f>OF!C9</f>
        <v>Distance to Nearest Well-settled Area</v>
      </c>
      <c r="C5" s="447" t="s">
        <v>406</v>
      </c>
      <c r="D5" s="324"/>
      <c r="E5" s="325"/>
      <c r="F5" s="325"/>
      <c r="G5" s="345" t="str">
        <f>IF((DistPop=""),"",DistPop)</f>
        <v/>
      </c>
      <c r="H5" s="1360" t="s">
        <v>673</v>
      </c>
      <c r="I5" s="1412" t="s">
        <v>1903</v>
      </c>
      <c r="J5" s="146"/>
      <c r="L5" s="162"/>
    </row>
    <row r="6" spans="1:96" s="111" customFormat="1" ht="114" customHeight="1" thickBot="1" x14ac:dyDescent="0.25">
      <c r="A6" s="317" t="str">
        <f>OF!A8</f>
        <v>OF7</v>
      </c>
      <c r="B6" s="318" t="str">
        <f>OF!C8</f>
        <v>Distance to Nearest Road (from Wetland Edge)</v>
      </c>
      <c r="C6" s="479" t="s">
        <v>406</v>
      </c>
      <c r="D6" s="320"/>
      <c r="E6" s="321"/>
      <c r="F6" s="321"/>
      <c r="G6" s="330" t="str">
        <f>IF((Dist2Road=""),"",Dist2Road)</f>
        <v/>
      </c>
      <c r="H6" s="331" t="s">
        <v>812</v>
      </c>
      <c r="I6" s="810" t="s">
        <v>1357</v>
      </c>
      <c r="J6" s="146"/>
      <c r="L6" s="161"/>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row>
    <row r="7" spans="1:96" s="111" customFormat="1" ht="39" thickBot="1" x14ac:dyDescent="0.25">
      <c r="A7" s="317" t="str">
        <f>OF!A16</f>
        <v>OF15</v>
      </c>
      <c r="B7" s="318" t="str">
        <f>OF!C16</f>
        <v>Growing Degree Days</v>
      </c>
      <c r="C7" s="479" t="s">
        <v>406</v>
      </c>
      <c r="D7" s="320"/>
      <c r="E7" s="321"/>
      <c r="F7" s="321"/>
      <c r="G7" s="330" t="str">
        <f>IF((GrowDD=""),"",GrowDD)</f>
        <v/>
      </c>
      <c r="H7" s="331" t="s">
        <v>698</v>
      </c>
      <c r="I7" s="810" t="s">
        <v>466</v>
      </c>
      <c r="J7" s="146"/>
      <c r="L7" s="164"/>
    </row>
    <row r="8" spans="1:96" s="111" customFormat="1" ht="105" customHeight="1" thickBot="1" x14ac:dyDescent="0.25">
      <c r="A8" s="418" t="str">
        <f>OF!A22</f>
        <v>OF21</v>
      </c>
      <c r="B8" s="323" t="str">
        <f>OF!C22</f>
        <v>% Natural Cover Within 1km</v>
      </c>
      <c r="C8" s="447" t="s">
        <v>406</v>
      </c>
      <c r="D8" s="324"/>
      <c r="E8" s="325"/>
      <c r="F8" s="325"/>
      <c r="G8" s="531" t="str">
        <f>IF((NatCov1k=""),"",NatCov1k)</f>
        <v/>
      </c>
      <c r="H8" s="1412" t="s">
        <v>687</v>
      </c>
      <c r="I8" s="1374" t="s">
        <v>1904</v>
      </c>
      <c r="J8" s="151"/>
      <c r="K8" s="159"/>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5"/>
    </row>
    <row r="9" spans="1:96" s="5" customFormat="1" ht="49.9" customHeight="1" thickBot="1" x14ac:dyDescent="0.25">
      <c r="A9" s="317" t="str">
        <f>OF!A32</f>
        <v>OF31</v>
      </c>
      <c r="B9" s="1308" t="str">
        <f>OF!C32</f>
        <v>Road Density Within 1km Buffer</v>
      </c>
      <c r="C9" s="479"/>
      <c r="D9" s="1259"/>
      <c r="E9" s="1260"/>
      <c r="F9" s="1260"/>
      <c r="G9" s="766" t="str">
        <f>IF((RdDens1k=""),"",RdDens1k)</f>
        <v/>
      </c>
      <c r="H9" s="1194" t="s">
        <v>688</v>
      </c>
      <c r="I9" s="1502" t="s">
        <v>2418</v>
      </c>
      <c r="J9" s="151"/>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row>
    <row r="10" spans="1:96" s="111" customFormat="1" ht="45" customHeight="1" thickBot="1" x14ac:dyDescent="0.25">
      <c r="A10" s="317" t="str">
        <f>OF!A34</f>
        <v>OF33</v>
      </c>
      <c r="B10" s="318" t="str">
        <f>OF!C34</f>
        <v>Riparian or Floodway Location</v>
      </c>
      <c r="C10" s="479" t="s">
        <v>406</v>
      </c>
      <c r="D10" s="320"/>
      <c r="E10" s="321"/>
      <c r="F10" s="321"/>
      <c r="G10" s="330" t="str">
        <f>IF((RipFloodpl=""),"",RipFloodpl)</f>
        <v/>
      </c>
      <c r="H10" s="331" t="s">
        <v>697</v>
      </c>
      <c r="I10" s="810" t="s">
        <v>919</v>
      </c>
      <c r="J10" s="146"/>
      <c r="L10" s="161"/>
    </row>
    <row r="11" spans="1:96" s="111" customFormat="1" ht="35.25" customHeight="1" thickBot="1" x14ac:dyDescent="0.25">
      <c r="A11" s="317" t="str">
        <f>OF!A41</f>
        <v>OF40</v>
      </c>
      <c r="B11" s="318" t="str">
        <f>OF!C41</f>
        <v>Local Uniqueness of Wetland's Class</v>
      </c>
      <c r="C11" s="479" t="s">
        <v>406</v>
      </c>
      <c r="D11" s="320"/>
      <c r="E11" s="321"/>
      <c r="F11" s="321"/>
      <c r="G11" s="502" t="str">
        <f>IF((UniqClass=""),"",UniqClass)</f>
        <v/>
      </c>
      <c r="H11" s="464" t="s">
        <v>799</v>
      </c>
      <c r="I11" s="810" t="s">
        <v>920</v>
      </c>
      <c r="J11" s="146"/>
      <c r="K11" s="159"/>
    </row>
    <row r="12" spans="1:96" s="111" customFormat="1" ht="68.25" thickBot="1" x14ac:dyDescent="0.25">
      <c r="A12" s="317" t="str">
        <f>OF!A45</f>
        <v>OF44</v>
      </c>
      <c r="B12" s="318" t="str">
        <f>OF!C45</f>
        <v>Wetland Density Within 1km</v>
      </c>
      <c r="C12" s="479" t="s">
        <v>406</v>
      </c>
      <c r="D12" s="320"/>
      <c r="E12" s="321"/>
      <c r="F12" s="321"/>
      <c r="G12" s="502" t="str">
        <f>IF((WetDens1k=""),"",WetDens1k)</f>
        <v/>
      </c>
      <c r="H12" s="464" t="s">
        <v>661</v>
      </c>
      <c r="I12" s="840" t="s">
        <v>1688</v>
      </c>
      <c r="J12" s="151"/>
      <c r="K12" s="159"/>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5"/>
    </row>
    <row r="13" spans="1:96" s="111" customFormat="1" ht="120" customHeight="1" thickBot="1" x14ac:dyDescent="0.25">
      <c r="A13" s="418" t="str">
        <f>OF!A50</f>
        <v>OF49</v>
      </c>
      <c r="B13" s="323" t="str">
        <f>OF!C50</f>
        <v>Wetland Vegetated Area (in hectares)</v>
      </c>
      <c r="C13" s="447" t="s">
        <v>406</v>
      </c>
      <c r="D13" s="324"/>
      <c r="E13" s="325"/>
      <c r="F13" s="325"/>
      <c r="G13" s="345" t="str">
        <f>IF((WetVegArea=""),"",WetVegArea)</f>
        <v/>
      </c>
      <c r="H13" s="351" t="s">
        <v>656</v>
      </c>
      <c r="I13" s="1412" t="s">
        <v>626</v>
      </c>
      <c r="J13" s="146"/>
    </row>
    <row r="14" spans="1:96" s="1007" customFormat="1" ht="66.75" thickBot="1" x14ac:dyDescent="0.35">
      <c r="A14" s="997" t="s">
        <v>78</v>
      </c>
      <c r="B14" s="998" t="s">
        <v>709</v>
      </c>
      <c r="C14" s="1021" t="s">
        <v>708</v>
      </c>
      <c r="D14" s="1000" t="s">
        <v>33</v>
      </c>
      <c r="E14" s="1001" t="s">
        <v>1131</v>
      </c>
      <c r="F14" s="1002" t="s">
        <v>1130</v>
      </c>
      <c r="G14" s="1003" t="s">
        <v>710</v>
      </c>
      <c r="H14" s="1004" t="s">
        <v>2028</v>
      </c>
      <c r="I14" s="1005" t="s">
        <v>917</v>
      </c>
      <c r="J14" s="1006"/>
    </row>
    <row r="15" spans="1:96" s="8" customFormat="1" ht="51.75" thickBot="1" x14ac:dyDescent="0.25">
      <c r="A15" s="1992" t="str">
        <f>F!A12</f>
        <v>F2</v>
      </c>
      <c r="B15" s="1867" t="str">
        <f>F!B12</f>
        <v>Wetland Types - Subordinate</v>
      </c>
      <c r="C15" s="791" t="str">
        <f>F!C12</f>
        <v>If the AA is smaller than 1 ha, mark all other types that occupy more than 1% of the vegetated AA.  If the AA is larger than 1 ha, mark all other types which adjoin directly (are contiguous with) the AA and occupy more than 1 ha, as visible from the AA or as interpreted from aerial imagery.  Do not mark again the type marked in F1.</v>
      </c>
      <c r="D15" s="282"/>
      <c r="E15" s="282"/>
      <c r="F15" s="105"/>
      <c r="G15" s="784">
        <f>IF((D20=1),"",SUM(D16:D19)/3)</f>
        <v>0</v>
      </c>
      <c r="H15" s="1910" t="s">
        <v>818</v>
      </c>
      <c r="I15" s="1867" t="s">
        <v>2414</v>
      </c>
      <c r="J15" s="138"/>
      <c r="L15" s="165"/>
    </row>
    <row r="16" spans="1:96" s="8" customFormat="1" ht="15" customHeight="1" x14ac:dyDescent="0.2">
      <c r="A16" s="1991"/>
      <c r="B16" s="1911"/>
      <c r="C16" s="934" t="str">
        <f>F!C13</f>
        <v>A1</v>
      </c>
      <c r="D16" s="733">
        <f>F!D13</f>
        <v>0</v>
      </c>
      <c r="E16" s="722"/>
      <c r="F16" s="812"/>
      <c r="G16" s="775"/>
      <c r="H16" s="1881"/>
      <c r="I16" s="1911"/>
      <c r="J16" s="138"/>
      <c r="L16" s="165"/>
    </row>
    <row r="17" spans="1:12" s="8" customFormat="1" ht="15" customHeight="1" x14ac:dyDescent="0.2">
      <c r="A17" s="1991"/>
      <c r="B17" s="1911"/>
      <c r="C17" s="935" t="str">
        <f>F!C14</f>
        <v>A2</v>
      </c>
      <c r="D17" s="733">
        <f>F!D14</f>
        <v>0</v>
      </c>
      <c r="E17" s="722"/>
      <c r="F17" s="812"/>
      <c r="G17" s="775"/>
      <c r="H17" s="1881"/>
      <c r="I17" s="1911"/>
      <c r="J17" s="138"/>
      <c r="L17" s="165"/>
    </row>
    <row r="18" spans="1:12" s="8" customFormat="1" ht="15" customHeight="1" x14ac:dyDescent="0.2">
      <c r="A18" s="1991"/>
      <c r="B18" s="1911"/>
      <c r="C18" s="935" t="str">
        <f>F!C15</f>
        <v>B1</v>
      </c>
      <c r="D18" s="733">
        <f>F!D15</f>
        <v>0</v>
      </c>
      <c r="E18" s="722"/>
      <c r="F18" s="812"/>
      <c r="G18" s="775"/>
      <c r="H18" s="1881"/>
      <c r="I18" s="1911"/>
      <c r="J18" s="138"/>
      <c r="L18" s="165"/>
    </row>
    <row r="19" spans="1:12" s="8" customFormat="1" ht="15" customHeight="1" x14ac:dyDescent="0.2">
      <c r="A19" s="1991"/>
      <c r="B19" s="1911"/>
      <c r="C19" s="935" t="str">
        <f>F!C16</f>
        <v>B2</v>
      </c>
      <c r="D19" s="733">
        <f>F!D16</f>
        <v>0</v>
      </c>
      <c r="E19" s="722"/>
      <c r="F19" s="812"/>
      <c r="G19" s="775"/>
      <c r="H19" s="1881"/>
      <c r="I19" s="1911"/>
      <c r="J19" s="138"/>
      <c r="L19" s="165"/>
    </row>
    <row r="20" spans="1:12" s="8" customFormat="1" ht="15" customHeight="1" thickBot="1" x14ac:dyDescent="0.25">
      <c r="A20" s="1993"/>
      <c r="B20" s="1978"/>
      <c r="C20" s="445" t="str">
        <f>F!C17</f>
        <v>no types other than the predominant one in F1 meet the stated conditions.</v>
      </c>
      <c r="D20" s="94">
        <f>F!D17</f>
        <v>0</v>
      </c>
      <c r="E20" s="244"/>
      <c r="F20" s="88"/>
      <c r="G20" s="258"/>
      <c r="H20" s="1882"/>
      <c r="I20" s="1978"/>
      <c r="J20" s="138"/>
      <c r="L20" s="165"/>
    </row>
    <row r="21" spans="1:12" s="34" customFormat="1" ht="65.45" customHeight="1" thickBot="1" x14ac:dyDescent="0.25">
      <c r="A21" s="2243" t="str">
        <f>F!A18</f>
        <v>F3</v>
      </c>
      <c r="B21" s="1911" t="str">
        <f>F!B18</f>
        <v>Woody Cover by Height</v>
      </c>
      <c r="C21" s="43" t="str">
        <f>F!C18</f>
        <v>Following EACH row below, indicate with a number code the percentage of the of the living vegetation in the AA occupied by that feature (5 if &gt;75%,   4 if 50-75%,   3 if 25-50%,   2 if 5-25%,   1 if &lt;5%, 0 if none).  If the AA has no trees or shrubs, SKIP to F8.</v>
      </c>
      <c r="D21" s="238"/>
      <c r="E21" s="239"/>
      <c r="F21" s="127"/>
      <c r="G21" s="219" t="str">
        <f>IF((SUM(D22:D27)=0),"",IF((MAX(D22,D24)=5),0,IF((MAX(D22,D24)=4),0.2,(COUNTIF(D22:D27,"&gt;0"))/6)))</f>
        <v/>
      </c>
      <c r="H21" s="1881" t="s">
        <v>761</v>
      </c>
      <c r="I21" s="1867" t="s">
        <v>2230</v>
      </c>
      <c r="J21" s="138"/>
      <c r="K21" s="8"/>
      <c r="L21" s="8"/>
    </row>
    <row r="22" spans="1:12" s="34" customFormat="1" ht="24" customHeight="1" x14ac:dyDescent="0.2">
      <c r="A22" s="2243"/>
      <c r="B22" s="1911"/>
      <c r="C22" s="1503" t="str">
        <f>F!C19</f>
        <v>coniferous trees (including tamarack) taller than 3 m.</v>
      </c>
      <c r="D22" s="91">
        <f>F!D19</f>
        <v>0</v>
      </c>
      <c r="E22" s="254"/>
      <c r="F22" s="42"/>
      <c r="G22" s="257"/>
      <c r="H22" s="1881"/>
      <c r="I22" s="1911"/>
      <c r="J22" s="138"/>
      <c r="K22" s="8"/>
      <c r="L22" s="8"/>
    </row>
    <row r="23" spans="1:12" s="34" customFormat="1" ht="24" customHeight="1" x14ac:dyDescent="0.2">
      <c r="A23" s="2243"/>
      <c r="B23" s="1911"/>
      <c r="C23" s="1503" t="str">
        <f>F!C20</f>
        <v>deciduous trees taller than 3 m.</v>
      </c>
      <c r="D23" s="91">
        <f>F!D20</f>
        <v>0</v>
      </c>
      <c r="E23" s="254"/>
      <c r="F23" s="42"/>
      <c r="G23" s="257"/>
      <c r="H23" s="1881"/>
      <c r="I23" s="1911"/>
      <c r="J23" s="138"/>
      <c r="K23" s="8"/>
      <c r="L23" s="8"/>
    </row>
    <row r="24" spans="1:12" s="34" customFormat="1" ht="33" customHeight="1" x14ac:dyDescent="0.2">
      <c r="A24" s="2243"/>
      <c r="B24" s="1911"/>
      <c r="C24" s="1503" t="str">
        <f>F!C21</f>
        <v>coniferous or ericaceous shrubs or trees 1-3 m tall not directly below the canopy of trees.</v>
      </c>
      <c r="D24" s="91">
        <f>F!D21</f>
        <v>0</v>
      </c>
      <c r="E24" s="254"/>
      <c r="F24" s="42"/>
      <c r="G24" s="257"/>
      <c r="H24" s="1881"/>
      <c r="I24" s="1911"/>
      <c r="J24" s="138"/>
      <c r="K24" s="8"/>
      <c r="L24" s="8"/>
    </row>
    <row r="25" spans="1:12" s="34" customFormat="1" ht="33" customHeight="1" x14ac:dyDescent="0.2">
      <c r="A25" s="2243"/>
      <c r="B25" s="1911"/>
      <c r="C25" s="1503" t="str">
        <f>F!C22</f>
        <v>deciduous shrubs or trees 1-3 m tall not directly below the canopy of trees &gt;3 m (e.g., deciduous saplings).</v>
      </c>
      <c r="D25" s="91">
        <f>F!D22</f>
        <v>0</v>
      </c>
      <c r="E25" s="1504"/>
      <c r="F25" s="42"/>
      <c r="G25" s="775"/>
      <c r="H25" s="1881"/>
      <c r="I25" s="1911"/>
      <c r="J25" s="138"/>
      <c r="K25" s="8"/>
      <c r="L25" s="8"/>
    </row>
    <row r="26" spans="1:12" s="34" customFormat="1" ht="33" customHeight="1" x14ac:dyDescent="0.2">
      <c r="A26" s="2243"/>
      <c r="B26" s="1911"/>
      <c r="C26" s="1503" t="str">
        <f>F!C23</f>
        <v>coniferous or ericaceous shrubs or trees &lt;1 m tall not directly below the canopy of taller vegetation.</v>
      </c>
      <c r="D26" s="91">
        <f>F!D23</f>
        <v>0</v>
      </c>
      <c r="E26" s="1504"/>
      <c r="F26" s="42"/>
      <c r="G26" s="775"/>
      <c r="H26" s="1881"/>
      <c r="I26" s="1911"/>
      <c r="J26" s="138"/>
      <c r="K26" s="8"/>
      <c r="L26" s="8"/>
    </row>
    <row r="27" spans="1:12" s="34" customFormat="1" ht="43.5" customHeight="1" thickBot="1" x14ac:dyDescent="0.25">
      <c r="A27" s="2243"/>
      <c r="B27" s="1911"/>
      <c r="C27" s="135" t="str">
        <f>F!C24</f>
        <v>deciduous shrubs or trees &lt;1 m tall (e.g., deciduous seedlings).</v>
      </c>
      <c r="D27" s="370">
        <f>F!D24</f>
        <v>0</v>
      </c>
      <c r="E27" s="430"/>
      <c r="F27" s="561"/>
      <c r="G27" s="721"/>
      <c r="H27" s="1881"/>
      <c r="I27" s="1911"/>
      <c r="J27" s="138"/>
      <c r="K27" s="8"/>
      <c r="L27" s="8"/>
    </row>
    <row r="28" spans="1:12" ht="39" thickBot="1" x14ac:dyDescent="0.25">
      <c r="A28" s="2236" t="str">
        <f>F!A25</f>
        <v>F4</v>
      </c>
      <c r="B28" s="2233" t="str">
        <f>F!B25</f>
        <v>Woody Diameter Classes</v>
      </c>
      <c r="C28" s="1318" t="str">
        <f>F!C25</f>
        <v>Mark all the diameter classes of woody plants within the AA, but only IF they comprise &gt;5% of the woody canopy or subcanopy within the AA.  Do not count trees that adjoin but are not within the AA.</v>
      </c>
      <c r="D28" s="777"/>
      <c r="E28" s="376"/>
      <c r="F28" s="563"/>
      <c r="G28" s="225" t="str">
        <f>IF((SUM(D22:D27)=0),"",((SUM(D29:D36)/8+ MAX(F29:F36)/MAX(E29:E36))/2))</f>
        <v/>
      </c>
      <c r="H28" s="1910" t="s">
        <v>762</v>
      </c>
      <c r="I28" s="2000" t="s">
        <v>2034</v>
      </c>
      <c r="J28" s="182"/>
      <c r="K28" s="2"/>
      <c r="L28" s="2"/>
    </row>
    <row r="29" spans="1:12" ht="15" customHeight="1" x14ac:dyDescent="0.2">
      <c r="A29" s="2237"/>
      <c r="B29" s="2234"/>
      <c r="C29" s="934" t="str">
        <f>F!C26</f>
        <v>coniferous, 1-9 cm diameter and &gt;1 m tall.</v>
      </c>
      <c r="D29" s="733">
        <f>F!D26</f>
        <v>0</v>
      </c>
      <c r="E29" s="722">
        <v>1</v>
      </c>
      <c r="F29" s="812">
        <f t="shared" ref="F29:F46" si="0">D29*E29</f>
        <v>0</v>
      </c>
      <c r="G29" s="775"/>
      <c r="H29" s="1881"/>
      <c r="I29" s="1989"/>
      <c r="J29" s="182"/>
      <c r="K29" s="2"/>
      <c r="L29" s="2"/>
    </row>
    <row r="30" spans="1:12" ht="15" customHeight="1" x14ac:dyDescent="0.2">
      <c r="A30" s="2237"/>
      <c r="B30" s="2234"/>
      <c r="C30" s="935" t="str">
        <f>F!C27</f>
        <v>broad-leaved deciduous 1-9 cm diameter and &gt;1 m tall.</v>
      </c>
      <c r="D30" s="733">
        <f>F!D27</f>
        <v>0</v>
      </c>
      <c r="E30" s="722">
        <v>3</v>
      </c>
      <c r="F30" s="812">
        <f t="shared" si="0"/>
        <v>0</v>
      </c>
      <c r="G30" s="775"/>
      <c r="H30" s="1881"/>
      <c r="I30" s="1989"/>
      <c r="J30" s="182"/>
      <c r="K30" s="2"/>
      <c r="L30" s="2"/>
    </row>
    <row r="31" spans="1:12" ht="15" customHeight="1" x14ac:dyDescent="0.2">
      <c r="A31" s="2237"/>
      <c r="B31" s="2234"/>
      <c r="C31" s="935" t="str">
        <f>F!C28</f>
        <v>coniferous, 10-19 cm diameter.</v>
      </c>
      <c r="D31" s="733">
        <f>F!D28</f>
        <v>0</v>
      </c>
      <c r="E31" s="722">
        <v>2</v>
      </c>
      <c r="F31" s="812">
        <f t="shared" si="0"/>
        <v>0</v>
      </c>
      <c r="G31" s="775"/>
      <c r="H31" s="1881"/>
      <c r="I31" s="1989"/>
      <c r="J31" s="182"/>
      <c r="K31" s="2"/>
      <c r="L31" s="2"/>
    </row>
    <row r="32" spans="1:12" ht="15" customHeight="1" x14ac:dyDescent="0.2">
      <c r="A32" s="2237"/>
      <c r="B32" s="2234"/>
      <c r="C32" s="935" t="str">
        <f>F!C29</f>
        <v>broad-leaved deciduous 10-19 cm diameter.</v>
      </c>
      <c r="D32" s="733">
        <f>F!D29</f>
        <v>0</v>
      </c>
      <c r="E32" s="722">
        <v>4</v>
      </c>
      <c r="F32" s="812">
        <f t="shared" si="0"/>
        <v>0</v>
      </c>
      <c r="G32" s="775"/>
      <c r="H32" s="1881"/>
      <c r="I32" s="1989"/>
      <c r="J32" s="182"/>
      <c r="K32" s="2"/>
      <c r="L32" s="2"/>
    </row>
    <row r="33" spans="1:12" ht="15" customHeight="1" x14ac:dyDescent="0.2">
      <c r="A33" s="2237"/>
      <c r="B33" s="2234"/>
      <c r="C33" s="935" t="str">
        <f>F!C30</f>
        <v>coniferous, 20-40 cm diameter.</v>
      </c>
      <c r="D33" s="733">
        <f>F!D30</f>
        <v>0</v>
      </c>
      <c r="E33" s="722">
        <v>3</v>
      </c>
      <c r="F33" s="812">
        <f t="shared" si="0"/>
        <v>0</v>
      </c>
      <c r="G33" s="775"/>
      <c r="H33" s="1881"/>
      <c r="I33" s="1989"/>
      <c r="J33" s="182"/>
      <c r="K33" s="2"/>
      <c r="L33" s="2"/>
    </row>
    <row r="34" spans="1:12" ht="15" customHeight="1" x14ac:dyDescent="0.2">
      <c r="A34" s="2237"/>
      <c r="B34" s="2234"/>
      <c r="C34" s="935" t="str">
        <f>F!C31</f>
        <v>broad-leaved deciduous 20-40 cm diameter.</v>
      </c>
      <c r="D34" s="733">
        <f>F!D31</f>
        <v>0</v>
      </c>
      <c r="E34" s="722">
        <v>6</v>
      </c>
      <c r="F34" s="812">
        <f t="shared" si="0"/>
        <v>0</v>
      </c>
      <c r="G34" s="775"/>
      <c r="H34" s="1881"/>
      <c r="I34" s="1989"/>
      <c r="J34" s="182"/>
      <c r="K34" s="2"/>
      <c r="L34" s="2"/>
    </row>
    <row r="35" spans="1:12" ht="15" customHeight="1" x14ac:dyDescent="0.2">
      <c r="A35" s="2237"/>
      <c r="B35" s="2234"/>
      <c r="C35" s="935" t="str">
        <f>F!C32</f>
        <v>coniferous, &gt;40 cm diameter.</v>
      </c>
      <c r="D35" s="733">
        <f>F!D32</f>
        <v>0</v>
      </c>
      <c r="E35" s="722">
        <v>5</v>
      </c>
      <c r="F35" s="812">
        <f t="shared" si="0"/>
        <v>0</v>
      </c>
      <c r="G35" s="775"/>
      <c r="H35" s="1881"/>
      <c r="I35" s="1989"/>
      <c r="J35" s="182"/>
      <c r="K35" s="2"/>
      <c r="L35" s="2"/>
    </row>
    <row r="36" spans="1:12" ht="15" customHeight="1" thickBot="1" x14ac:dyDescent="0.25">
      <c r="A36" s="2238"/>
      <c r="B36" s="2235"/>
      <c r="C36" s="445" t="str">
        <f>F!C33</f>
        <v>broad-leaved deciduous &gt;40 cm diameter.</v>
      </c>
      <c r="D36" s="94">
        <f>F!D33</f>
        <v>0</v>
      </c>
      <c r="E36" s="244">
        <v>8</v>
      </c>
      <c r="F36" s="88">
        <f t="shared" si="0"/>
        <v>0</v>
      </c>
      <c r="G36" s="258"/>
      <c r="H36" s="1882"/>
      <c r="I36" s="1990"/>
      <c r="J36" s="182"/>
      <c r="K36" s="2"/>
      <c r="L36" s="2"/>
    </row>
    <row r="37" spans="1:12" s="34" customFormat="1" ht="17.25" customHeight="1" thickBot="1" x14ac:dyDescent="0.25">
      <c r="A37" s="1992" t="str">
        <f>F!A34</f>
        <v>F5</v>
      </c>
      <c r="B37" s="1867" t="str">
        <f>F!B34</f>
        <v>Interspersion of Tall and Short Vegetation</v>
      </c>
      <c r="C37" s="43" t="str">
        <f>F!C34</f>
        <v>Follow the key below and mark the ONE row that best describes MOST of the AA:</v>
      </c>
      <c r="D37" s="581"/>
      <c r="E37" s="243"/>
      <c r="F37" s="166"/>
      <c r="G37" s="225" t="str">
        <f>IF((SUM(D22:D27)=0),"",MAX(F38:F43)/MAX(E38:E43))</f>
        <v/>
      </c>
      <c r="H37" s="1910" t="s">
        <v>921</v>
      </c>
      <c r="I37" s="1867" t="s">
        <v>918</v>
      </c>
      <c r="J37" s="138"/>
      <c r="K37" s="8"/>
      <c r="L37" s="8"/>
    </row>
    <row r="38" spans="1:12" s="34" customFormat="1" ht="51" x14ac:dyDescent="0.2">
      <c r="A38" s="1991"/>
      <c r="B38" s="1911"/>
      <c r="C38" s="135" t="str">
        <f>F!C35</f>
        <v>A. Neither the vegetation taller than 1m nor the vegetation shorter than that comprise &gt;70% of the vegetated part of the AA. They each comprise 30-70%.  If false, go to B below.  Otherwise choose between A1 and A2 and mark the choice with a 1 in the adjoining column:</v>
      </c>
      <c r="D38" s="812"/>
      <c r="E38" s="812"/>
      <c r="F38" s="812"/>
      <c r="G38" s="298"/>
      <c r="H38" s="1881"/>
      <c r="I38" s="1911"/>
      <c r="J38" s="138"/>
      <c r="K38" s="8"/>
      <c r="L38" s="8"/>
    </row>
    <row r="39" spans="1:12" s="34" customFormat="1" ht="16.5" customHeight="1" x14ac:dyDescent="0.2">
      <c r="A39" s="1991"/>
      <c r="B39" s="1991"/>
      <c r="C39" s="1505" t="str">
        <f>F!C36</f>
        <v xml:space="preserve">   A1. The two height classes are mostly scattered and intermixed throughout the AA.</v>
      </c>
      <c r="D39" s="733">
        <f>F!D36</f>
        <v>0</v>
      </c>
      <c r="E39" s="722">
        <v>3</v>
      </c>
      <c r="F39" s="42">
        <f t="shared" ref="F39:F43" si="1">D39*E39</f>
        <v>0</v>
      </c>
      <c r="G39" s="884"/>
      <c r="H39" s="1881"/>
      <c r="I39" s="1911"/>
      <c r="J39" s="138"/>
      <c r="K39" s="8"/>
      <c r="L39" s="8"/>
    </row>
    <row r="40" spans="1:12" s="34" customFormat="1" ht="30" customHeight="1" x14ac:dyDescent="0.2">
      <c r="A40" s="1991"/>
      <c r="B40" s="1991"/>
      <c r="C40" s="1505" t="str">
        <f>F!C37</f>
        <v xml:space="preserve">   A2. Not A1.  The two height classes are mostly in separate zones or bands, or in proportionately large clumps.</v>
      </c>
      <c r="D40" s="733">
        <f>F!D37</f>
        <v>0</v>
      </c>
      <c r="E40" s="722">
        <v>2</v>
      </c>
      <c r="F40" s="42">
        <f t="shared" si="1"/>
        <v>0</v>
      </c>
      <c r="G40" s="884"/>
      <c r="H40" s="1881"/>
      <c r="I40" s="1911"/>
      <c r="J40" s="138"/>
      <c r="K40" s="8"/>
      <c r="L40" s="8"/>
    </row>
    <row r="41" spans="1:12" s="34" customFormat="1" ht="42" customHeight="1" x14ac:dyDescent="0.2">
      <c r="A41" s="1991"/>
      <c r="B41" s="1911"/>
      <c r="C41" s="1483" t="str">
        <f>F!C38</f>
        <v>B. Either the vegetation taller than 1m or the vegetation shorter than 1m comprise &gt;70% of the vegetated part of the AA.  One size class might even be totally absent.  Choose between B1 and B2 and mark the choice with a 1 in the adjoining column:</v>
      </c>
      <c r="D41" s="812"/>
      <c r="E41" s="812"/>
      <c r="F41" s="812"/>
      <c r="G41" s="298"/>
      <c r="H41" s="1881"/>
      <c r="I41" s="1911"/>
      <c r="J41" s="138"/>
      <c r="K41" s="8"/>
      <c r="L41" s="8"/>
    </row>
    <row r="42" spans="1:12" s="34" customFormat="1" ht="25.5" x14ac:dyDescent="0.2">
      <c r="A42" s="1991"/>
      <c r="B42" s="1911"/>
      <c r="C42" s="1483" t="str">
        <f>F!C39</f>
        <v xml:space="preserve">   B1. The less prevalent height class is mostly scattered and intermixed within the prevalent one.</v>
      </c>
      <c r="D42" s="1482">
        <f>F!D39</f>
        <v>0</v>
      </c>
      <c r="E42" s="241">
        <v>1</v>
      </c>
      <c r="F42" s="42">
        <f t="shared" si="1"/>
        <v>0</v>
      </c>
      <c r="G42" s="298"/>
      <c r="H42" s="1881"/>
      <c r="I42" s="1911"/>
      <c r="J42" s="138"/>
      <c r="K42" s="8"/>
      <c r="L42" s="8"/>
    </row>
    <row r="43" spans="1:12" s="34" customFormat="1" ht="26.25" thickBot="1" x14ac:dyDescent="0.25">
      <c r="A43" s="1993"/>
      <c r="B43" s="1978"/>
      <c r="C43" s="1506" t="str">
        <f>F!C40</f>
        <v xml:space="preserve">   B2. Not B1.  The less prevalent height class is mostly located apart from the prevalent one, in separate zones or clumps, or is completely absent</v>
      </c>
      <c r="D43" s="1507">
        <f>F!D40</f>
        <v>0</v>
      </c>
      <c r="E43" s="244">
        <v>0</v>
      </c>
      <c r="F43" s="88">
        <f t="shared" si="1"/>
        <v>0</v>
      </c>
      <c r="G43" s="559"/>
      <c r="H43" s="1882"/>
      <c r="I43" s="1978"/>
      <c r="J43" s="138"/>
      <c r="K43" s="8"/>
      <c r="L43" s="8"/>
    </row>
    <row r="44" spans="1:12" ht="45" customHeight="1" thickBot="1" x14ac:dyDescent="0.25">
      <c r="A44" s="2233" t="str">
        <f>F!A41</f>
        <v>F6</v>
      </c>
      <c r="B44" s="2233" t="str">
        <f>F!B41</f>
        <v>Downed Wood</v>
      </c>
      <c r="C44" s="43" t="str">
        <f>F!C41</f>
        <v>If trees taller than 3 m comprise &lt;5% of the vegetative cover, SKIP to F10 (Sphagnum Moss Extent). Otherwise, answer this: The number of downed wood pieces longer than 2 m and with diameter &gt;5 cm, and not persistently submerged, is:</v>
      </c>
      <c r="D44" s="581"/>
      <c r="E44" s="376"/>
      <c r="F44" s="563"/>
      <c r="G44" s="225" t="str">
        <f>IF((SUM(D22:D27)=0),"", MAX(F45:F46))</f>
        <v/>
      </c>
      <c r="H44" s="1910" t="s">
        <v>815</v>
      </c>
      <c r="I44" s="2000" t="s">
        <v>1213</v>
      </c>
      <c r="J44" s="182"/>
      <c r="K44" s="2"/>
      <c r="L44" s="2"/>
    </row>
    <row r="45" spans="1:12" ht="15" customHeight="1" x14ac:dyDescent="0.2">
      <c r="A45" s="2234"/>
      <c r="B45" s="2234"/>
      <c r="C45" s="338" t="str">
        <f>F!C42</f>
        <v>Several (&gt;5 if AA is &gt;5 hectares, less for smaller AAs).</v>
      </c>
      <c r="D45" s="370">
        <f>F!D42</f>
        <v>0</v>
      </c>
      <c r="E45" s="377">
        <v>1</v>
      </c>
      <c r="F45" s="561">
        <f t="shared" si="0"/>
        <v>0</v>
      </c>
      <c r="G45" s="257"/>
      <c r="H45" s="1881"/>
      <c r="I45" s="1989"/>
      <c r="J45" s="182"/>
      <c r="K45" s="2"/>
      <c r="L45" s="2"/>
    </row>
    <row r="46" spans="1:12" ht="15" customHeight="1" thickBot="1" x14ac:dyDescent="0.25">
      <c r="A46" s="2235"/>
      <c r="B46" s="2235"/>
      <c r="C46" s="445" t="str">
        <f>F!C43</f>
        <v>Few or none that meet these criteria.</v>
      </c>
      <c r="D46" s="94">
        <f>F!D43</f>
        <v>0</v>
      </c>
      <c r="E46" s="244">
        <v>0</v>
      </c>
      <c r="F46" s="88">
        <f t="shared" si="0"/>
        <v>0</v>
      </c>
      <c r="G46" s="258"/>
      <c r="H46" s="1882"/>
      <c r="I46" s="1990"/>
      <c r="J46" s="182"/>
      <c r="K46" s="2"/>
      <c r="L46" s="2"/>
    </row>
    <row r="47" spans="1:12" ht="45" customHeight="1" thickBot="1" x14ac:dyDescent="0.25">
      <c r="A47" s="1992" t="str">
        <f>F!A44</f>
        <v>F7</v>
      </c>
      <c r="B47" s="1867" t="str">
        <f>F!B44</f>
        <v xml:space="preserve">Dominance of Most Abundant Shrub Species </v>
      </c>
      <c r="C47" s="352" t="str">
        <f>F!C44</f>
        <v>If shrubs shorter than 3 m comprise &lt;5% of the vegetative cover, proceed to next question. Otherwise, determine which two native shrub species (&lt;3 m tall) comprise the greatest portion of the native shrub cover. Then choose one of the following:</v>
      </c>
      <c r="D47" s="1508"/>
      <c r="E47" s="376"/>
      <c r="F47" s="87"/>
      <c r="G47" s="225" t="str">
        <f>IF((SUM(D24:D27)=0),"",MAX(F48:F49))</f>
        <v/>
      </c>
      <c r="H47" s="1910" t="s">
        <v>170</v>
      </c>
      <c r="I47" s="2000" t="s">
        <v>1214</v>
      </c>
      <c r="J47" s="182"/>
      <c r="K47" s="2"/>
      <c r="L47" s="2"/>
    </row>
    <row r="48" spans="1:12" ht="15" customHeight="1" x14ac:dyDescent="0.2">
      <c r="A48" s="2035"/>
      <c r="B48" s="1989"/>
      <c r="C48" s="552" t="str">
        <f>F!C45</f>
        <v>those species together comprise &gt; 50% of the areal cover of native shrub species.</v>
      </c>
      <c r="D48" s="354">
        <f>F!D45</f>
        <v>0</v>
      </c>
      <c r="E48" s="435">
        <v>0</v>
      </c>
      <c r="F48" s="564">
        <f>D48*E48</f>
        <v>0</v>
      </c>
      <c r="G48" s="202"/>
      <c r="H48" s="1881"/>
      <c r="I48" s="1989"/>
      <c r="J48" s="182"/>
      <c r="K48" s="2"/>
      <c r="L48" s="2"/>
    </row>
    <row r="49" spans="1:12" ht="15" customHeight="1" thickBot="1" x14ac:dyDescent="0.25">
      <c r="A49" s="2037"/>
      <c r="B49" s="1990"/>
      <c r="C49" s="445" t="str">
        <f>F!C46</f>
        <v>those species together do not comprise &gt; 50% of the areal cover of native shrub species.</v>
      </c>
      <c r="D49" s="94">
        <f>F!D46</f>
        <v>0</v>
      </c>
      <c r="E49" s="263">
        <v>1</v>
      </c>
      <c r="F49" s="88">
        <f>D49*E49</f>
        <v>0</v>
      </c>
      <c r="G49" s="258"/>
      <c r="H49" s="1882"/>
      <c r="I49" s="1990"/>
      <c r="J49" s="182"/>
      <c r="K49" s="2"/>
      <c r="L49" s="2"/>
    </row>
    <row r="50" spans="1:12" ht="30" customHeight="1" thickBot="1" x14ac:dyDescent="0.25">
      <c r="A50" s="1992" t="str">
        <f>F!A47</f>
        <v>F8</v>
      </c>
      <c r="B50" s="1867" t="str">
        <f>F!B47</f>
        <v>N Fixers</v>
      </c>
      <c r="C50" s="352" t="str">
        <f>F!C47</f>
        <v>The percent of the AA's vegetated cover that is nitrogen-fixing plants (e.g., alder, baltic (wire) rush, sweetgale, lupine, clover, other legumes) is:</v>
      </c>
      <c r="D50" s="1509"/>
      <c r="E50" s="87"/>
      <c r="F50" s="87"/>
      <c r="G50" s="225">
        <f>MAX(F51:F55)/MAX(E51:E55)</f>
        <v>0</v>
      </c>
      <c r="H50" s="1910" t="s">
        <v>182</v>
      </c>
      <c r="I50" s="1867" t="s">
        <v>1259</v>
      </c>
      <c r="J50" s="182"/>
      <c r="K50" s="2"/>
      <c r="L50" s="2"/>
    </row>
    <row r="51" spans="1:12" ht="15" customHeight="1" x14ac:dyDescent="0.2">
      <c r="A51" s="1991"/>
      <c r="B51" s="1911"/>
      <c r="C51" s="552" t="str">
        <f>F!C48</f>
        <v>&lt;1% or none.</v>
      </c>
      <c r="D51" s="354">
        <f>F!D48</f>
        <v>0</v>
      </c>
      <c r="E51" s="435">
        <v>0</v>
      </c>
      <c r="F51" s="564">
        <f>D51*E51</f>
        <v>0</v>
      </c>
      <c r="G51" s="202"/>
      <c r="H51" s="1881"/>
      <c r="I51" s="1911"/>
      <c r="J51" s="182"/>
      <c r="K51" s="2"/>
      <c r="L51" s="2"/>
    </row>
    <row r="52" spans="1:12" ht="25.5" x14ac:dyDescent="0.2">
      <c r="A52" s="1991"/>
      <c r="B52" s="1911"/>
      <c r="C52" s="576" t="str">
        <f>F!C49</f>
        <v>1-25% of the shrub plus ground cover, in the AA or along its water edge (whichever has more).</v>
      </c>
      <c r="D52" s="354">
        <f>F!D49</f>
        <v>0</v>
      </c>
      <c r="E52" s="435">
        <v>2</v>
      </c>
      <c r="F52" s="564">
        <f>D52*E52</f>
        <v>0</v>
      </c>
      <c r="G52" s="257"/>
      <c r="H52" s="1881"/>
      <c r="I52" s="1911"/>
      <c r="J52" s="182"/>
      <c r="K52" s="2"/>
      <c r="L52" s="2"/>
    </row>
    <row r="53" spans="1:12" ht="25.5" x14ac:dyDescent="0.2">
      <c r="A53" s="1991"/>
      <c r="B53" s="1911"/>
      <c r="C53" s="576" t="str">
        <f>F!C50</f>
        <v>25-50% of the shrub plus ground cover, in the AA or along its water edge (whichever has more).</v>
      </c>
      <c r="D53" s="354">
        <f>F!D50</f>
        <v>0</v>
      </c>
      <c r="E53" s="435">
        <v>3</v>
      </c>
      <c r="F53" s="564">
        <f>D53*E53</f>
        <v>0</v>
      </c>
      <c r="G53" s="257"/>
      <c r="H53" s="1881"/>
      <c r="I53" s="1911"/>
      <c r="J53" s="182"/>
      <c r="K53" s="2"/>
      <c r="L53" s="2"/>
    </row>
    <row r="54" spans="1:12" ht="25.5" x14ac:dyDescent="0.2">
      <c r="A54" s="1991"/>
      <c r="B54" s="1911"/>
      <c r="C54" s="576" t="str">
        <f>F!C51</f>
        <v>50-75% of the shrub plus ground cover, in the AA or along its water edge (whichever has more).</v>
      </c>
      <c r="D54" s="354">
        <f>F!D51</f>
        <v>0</v>
      </c>
      <c r="E54" s="435">
        <v>2</v>
      </c>
      <c r="F54" s="564">
        <f>D54*E54</f>
        <v>0</v>
      </c>
      <c r="G54" s="257"/>
      <c r="H54" s="1881"/>
      <c r="I54" s="1911"/>
      <c r="J54" s="182"/>
      <c r="K54" s="2"/>
      <c r="L54" s="2"/>
    </row>
    <row r="55" spans="1:12" ht="15" customHeight="1" thickBot="1" x14ac:dyDescent="0.25">
      <c r="A55" s="1993"/>
      <c r="B55" s="1978"/>
      <c r="C55" s="445" t="str">
        <f>F!C52</f>
        <v>&gt;75% of the shrub plus ground cover, in the AA or along its water edge (whichever has more).</v>
      </c>
      <c r="D55" s="94">
        <f>F!D52</f>
        <v>0</v>
      </c>
      <c r="E55" s="263">
        <v>1</v>
      </c>
      <c r="F55" s="88">
        <f>D55*E55</f>
        <v>0</v>
      </c>
      <c r="G55" s="258"/>
      <c r="H55" s="1882"/>
      <c r="I55" s="1978"/>
      <c r="J55" s="182"/>
      <c r="K55" s="2"/>
      <c r="L55" s="2"/>
    </row>
    <row r="56" spans="1:12" ht="30" customHeight="1" thickBot="1" x14ac:dyDescent="0.25">
      <c r="A56" s="1992" t="str">
        <f>F!A53</f>
        <v>F9</v>
      </c>
      <c r="B56" s="1867" t="str">
        <f>F!B53</f>
        <v>Large Snags (Dead Standing Trees)</v>
      </c>
      <c r="C56" s="352" t="str">
        <f>F!C53</f>
        <v>The number of large snags (diameter &gt;20 cm) in the AA plus adjoining upland area within 10 m of the wetland edge is:</v>
      </c>
      <c r="D56" s="1510"/>
      <c r="E56" s="440"/>
      <c r="F56" s="563"/>
      <c r="G56" s="784" t="str">
        <f>IF((SUM(D22:D27)=0),"",MAX(F57:F59))</f>
        <v/>
      </c>
      <c r="H56" s="1910" t="s">
        <v>816</v>
      </c>
      <c r="I56" s="1867" t="s">
        <v>973</v>
      </c>
      <c r="J56" s="182"/>
      <c r="K56" s="2"/>
      <c r="L56" s="2"/>
    </row>
    <row r="57" spans="1:12" ht="16.149999999999999" customHeight="1" x14ac:dyDescent="0.2">
      <c r="A57" s="1991"/>
      <c r="B57" s="1911"/>
      <c r="C57" s="934" t="str">
        <f>F!C54</f>
        <v>Few or none that meet these criteria.</v>
      </c>
      <c r="D57" s="733">
        <f>F!D54</f>
        <v>0</v>
      </c>
      <c r="E57" s="1511">
        <v>0</v>
      </c>
      <c r="F57" s="812">
        <f>D57*E57</f>
        <v>0</v>
      </c>
      <c r="G57" s="859"/>
      <c r="H57" s="1881"/>
      <c r="I57" s="1911"/>
      <c r="J57" s="182"/>
      <c r="K57" s="2"/>
      <c r="L57" s="2"/>
    </row>
    <row r="58" spans="1:12" ht="25.5" x14ac:dyDescent="0.2">
      <c r="A58" s="1991"/>
      <c r="B58" s="1911"/>
      <c r="C58" s="935" t="str">
        <f>F!C55</f>
        <v>Several ( &gt;5/hectare) and a pond, lake, or slow-flowing water wider than 10 m is within 1 km.</v>
      </c>
      <c r="D58" s="733">
        <f>F!D55</f>
        <v>0</v>
      </c>
      <c r="E58" s="1511">
        <v>1</v>
      </c>
      <c r="F58" s="812">
        <f>D58*E58</f>
        <v>0</v>
      </c>
      <c r="G58" s="859"/>
      <c r="H58" s="1881"/>
      <c r="I58" s="1911"/>
      <c r="J58" s="182"/>
      <c r="K58" s="2"/>
      <c r="L58" s="2"/>
    </row>
    <row r="59" spans="1:12" ht="15" customHeight="1" thickBot="1" x14ac:dyDescent="0.25">
      <c r="A59" s="1991"/>
      <c r="B59" s="1911"/>
      <c r="C59" s="762" t="str">
        <f>F!C56</f>
        <v>Several ( &gt;5/hectare) but above not true.</v>
      </c>
      <c r="D59" s="370">
        <f>F!D56</f>
        <v>0</v>
      </c>
      <c r="E59" s="1512">
        <v>1</v>
      </c>
      <c r="F59" s="561">
        <f>D59*E59</f>
        <v>0</v>
      </c>
      <c r="G59" s="1054"/>
      <c r="H59" s="1881"/>
      <c r="I59" s="1911"/>
      <c r="J59" s="182"/>
      <c r="K59" s="2"/>
      <c r="L59" s="2"/>
    </row>
    <row r="60" spans="1:12" ht="60" customHeight="1" thickBot="1" x14ac:dyDescent="0.25">
      <c r="A60" s="1992" t="str">
        <f>F!A69</f>
        <v>F12</v>
      </c>
      <c r="B60" s="1867" t="str">
        <f>F!B69</f>
        <v>Ground Irregularity</v>
      </c>
      <c r="C60" s="352" t="str">
        <f>F!C69</f>
        <v>Consider the parts of the AA that lack surface water at some time of the year.  The number of hummocks, small pits, raised mounds, upturned trees, animal burrows, gullies, natural levees, microdepressions, and other areas of peat or mineral soil that are raised or depressed &gt;10 cm compared to most of the area immediately surrounding them is:</v>
      </c>
      <c r="D60" s="1513"/>
      <c r="E60" s="376"/>
      <c r="F60" s="87"/>
      <c r="G60" s="225">
        <f>MAX(F61:F63)/MAX(E61:E63)</f>
        <v>0</v>
      </c>
      <c r="H60" s="1910" t="s">
        <v>171</v>
      </c>
      <c r="I60" s="2000" t="s">
        <v>1907</v>
      </c>
      <c r="J60" s="182"/>
      <c r="K60" s="2"/>
      <c r="L60" s="2"/>
    </row>
    <row r="61" spans="1:12" ht="25.5" x14ac:dyDescent="0.2">
      <c r="A61" s="1991"/>
      <c r="B61" s="1911"/>
      <c r="C61" s="1514" t="str">
        <f>F!C70</f>
        <v xml:space="preserve">Few or none (minimal microtopography; &lt;1% of the land has such features, or entire site is always water-covered). </v>
      </c>
      <c r="D61" s="1285">
        <f>F!D70</f>
        <v>0</v>
      </c>
      <c r="E61" s="722">
        <v>0</v>
      </c>
      <c r="F61" s="812">
        <f>D61*E61</f>
        <v>0</v>
      </c>
      <c r="G61" s="202"/>
      <c r="H61" s="1881"/>
      <c r="I61" s="1989"/>
      <c r="J61" s="182"/>
      <c r="K61" s="2"/>
      <c r="L61" s="2"/>
    </row>
    <row r="62" spans="1:12" ht="15" customHeight="1" x14ac:dyDescent="0.2">
      <c r="A62" s="1991"/>
      <c r="B62" s="1911"/>
      <c r="C62" s="1437" t="str">
        <f>F!C71</f>
        <v>Intermediate.</v>
      </c>
      <c r="D62" s="1285">
        <f>F!D71</f>
        <v>0</v>
      </c>
      <c r="E62" s="722">
        <v>1</v>
      </c>
      <c r="F62" s="812">
        <f>D62*E62</f>
        <v>0</v>
      </c>
      <c r="G62" s="775"/>
      <c r="H62" s="1881"/>
      <c r="I62" s="1989"/>
      <c r="J62" s="182"/>
      <c r="K62" s="2"/>
      <c r="L62" s="2"/>
    </row>
    <row r="63" spans="1:12" ht="15" customHeight="1" thickBot="1" x14ac:dyDescent="0.25">
      <c r="A63" s="1993"/>
      <c r="B63" s="1978"/>
      <c r="C63" s="1438" t="str">
        <f>F!C72</f>
        <v>Several (extensive micro-topography).</v>
      </c>
      <c r="D63" s="496">
        <f>F!D72</f>
        <v>0</v>
      </c>
      <c r="E63" s="244">
        <v>2</v>
      </c>
      <c r="F63" s="88">
        <f>D63*E63</f>
        <v>0</v>
      </c>
      <c r="G63" s="258"/>
      <c r="H63" s="1882"/>
      <c r="I63" s="1990"/>
      <c r="J63" s="182"/>
      <c r="K63" s="2"/>
      <c r="L63" s="2"/>
    </row>
    <row r="64" spans="1:12" ht="45" customHeight="1" thickBot="1" x14ac:dyDescent="0.25">
      <c r="A64" s="1992" t="str">
        <f>F!A77</f>
        <v>F14</v>
      </c>
      <c r="B64" s="1867" t="str">
        <f>F!B77</f>
        <v>Soil Texture</v>
      </c>
      <c r="C64" s="352" t="str">
        <f>F!C77</f>
        <v>In parts of the AA that lack persistent water, the texture of soil in the uppermost layer is mostly:  [To determine this, use a trowel to check in at least 3 widely spaced locations, and use the soil texture key in Appendix A of the Manual].</v>
      </c>
      <c r="D64" s="1515"/>
      <c r="E64" s="376"/>
      <c r="F64" s="87"/>
      <c r="G64" s="225">
        <f>MAX(F65:F70)/MAX(E65:E70)</f>
        <v>0</v>
      </c>
      <c r="H64" s="1910" t="s">
        <v>172</v>
      </c>
      <c r="I64" s="2000" t="s">
        <v>275</v>
      </c>
      <c r="J64" s="182"/>
      <c r="K64" s="2"/>
      <c r="L64" s="2"/>
    </row>
    <row r="65" spans="1:12" ht="15" customHeight="1" x14ac:dyDescent="0.2">
      <c r="A65" s="1991"/>
      <c r="B65" s="1911"/>
      <c r="C65" s="552" t="str">
        <f>F!C78</f>
        <v>Loamy: includes loam, sandy loam.</v>
      </c>
      <c r="D65" s="180">
        <f>F!D78</f>
        <v>0</v>
      </c>
      <c r="E65" s="377">
        <v>3</v>
      </c>
      <c r="F65" s="564">
        <f t="shared" ref="F65:F70" si="2">D65*E65</f>
        <v>0</v>
      </c>
      <c r="G65" s="202"/>
      <c r="H65" s="1881"/>
      <c r="I65" s="1989"/>
      <c r="J65" s="182"/>
      <c r="K65" s="2"/>
      <c r="L65" s="2"/>
    </row>
    <row r="66" spans="1:12" ht="27" customHeight="1" x14ac:dyDescent="0.2">
      <c r="A66" s="1991"/>
      <c r="B66" s="1911"/>
      <c r="C66" s="576" t="str">
        <f>F!C79</f>
        <v>Fines: includes silt, glacial flour, clay, clay loam, silty clay, silty clay loam, sandy clay, sandy clay loam.</v>
      </c>
      <c r="D66" s="359">
        <f>F!D79</f>
        <v>0</v>
      </c>
      <c r="E66" s="377">
        <v>2</v>
      </c>
      <c r="F66" s="564">
        <f t="shared" si="2"/>
        <v>0</v>
      </c>
      <c r="G66" s="257"/>
      <c r="H66" s="1881"/>
      <c r="I66" s="1989"/>
      <c r="J66" s="182"/>
      <c r="K66" s="2"/>
      <c r="L66" s="2"/>
    </row>
    <row r="67" spans="1:12" ht="15" customHeight="1" x14ac:dyDescent="0.2">
      <c r="A67" s="1991"/>
      <c r="B67" s="1911"/>
      <c r="C67" s="576" t="str">
        <f>F!C80</f>
        <v>Peat, present to 40 cm depth or greater.</v>
      </c>
      <c r="D67" s="359">
        <f>F!D80</f>
        <v>0</v>
      </c>
      <c r="E67" s="377">
        <v>3</v>
      </c>
      <c r="F67" s="564">
        <f t="shared" si="2"/>
        <v>0</v>
      </c>
      <c r="G67" s="257"/>
      <c r="H67" s="1881"/>
      <c r="I67" s="1989"/>
      <c r="J67" s="182"/>
      <c r="K67" s="2"/>
      <c r="L67" s="2"/>
    </row>
    <row r="68" spans="1:12" ht="15" customHeight="1" x14ac:dyDescent="0.2">
      <c r="A68" s="1991"/>
      <c r="B68" s="1911"/>
      <c r="C68" s="576" t="str">
        <f>F!C81</f>
        <v>Peat, but becomes mineral before reaching 40 cm depth.</v>
      </c>
      <c r="D68" s="359">
        <f>F!D81</f>
        <v>0</v>
      </c>
      <c r="E68" s="380">
        <v>3</v>
      </c>
      <c r="F68" s="561">
        <f t="shared" si="2"/>
        <v>0</v>
      </c>
      <c r="G68" s="721"/>
      <c r="H68" s="1881"/>
      <c r="I68" s="1989"/>
      <c r="J68" s="578"/>
      <c r="K68" s="2"/>
      <c r="L68" s="2"/>
    </row>
    <row r="69" spans="1:12" ht="15" customHeight="1" x14ac:dyDescent="0.2">
      <c r="A69" s="1991"/>
      <c r="B69" s="1911"/>
      <c r="C69" s="576" t="str">
        <f>F!C82</f>
        <v>Organic or organic muck, but becomes mineral before reaching 40 cm depth.</v>
      </c>
      <c r="D69" s="359">
        <f>F!D82</f>
        <v>0</v>
      </c>
      <c r="E69" s="380">
        <v>3</v>
      </c>
      <c r="F69" s="561">
        <f t="shared" si="2"/>
        <v>0</v>
      </c>
      <c r="G69" s="721"/>
      <c r="H69" s="1881"/>
      <c r="I69" s="1989"/>
      <c r="J69" s="578"/>
      <c r="K69" s="2"/>
      <c r="L69" s="2"/>
    </row>
    <row r="70" spans="1:12" ht="27" customHeight="1" thickBot="1" x14ac:dyDescent="0.25">
      <c r="A70" s="1993"/>
      <c r="B70" s="1978"/>
      <c r="C70" s="445" t="str">
        <f>F!C83</f>
        <v>Coarse: includes sand, loamy sand, gravel, cobble, stones, boulders, fluvents, fluvaquents, riverwash.</v>
      </c>
      <c r="D70" s="81">
        <f>F!D83</f>
        <v>0</v>
      </c>
      <c r="E70" s="244">
        <v>1</v>
      </c>
      <c r="F70" s="88">
        <f t="shared" si="2"/>
        <v>0</v>
      </c>
      <c r="G70" s="258"/>
      <c r="H70" s="1882"/>
      <c r="I70" s="1990"/>
      <c r="J70" s="182"/>
      <c r="K70" s="2"/>
      <c r="L70" s="2"/>
    </row>
    <row r="71" spans="1:12" ht="21" customHeight="1" thickBot="1" x14ac:dyDescent="0.25">
      <c r="A71" s="1991" t="str">
        <f>F!A95</f>
        <v>F17</v>
      </c>
      <c r="B71" s="1911" t="str">
        <f>F!B95</f>
        <v>Forb Cover</v>
      </c>
      <c r="C71" s="1397" t="str">
        <f>F!C95</f>
        <v>The areal cover of forbs reaches an annual maximum of:</v>
      </c>
      <c r="D71" s="238"/>
      <c r="E71" s="239"/>
      <c r="F71" s="127"/>
      <c r="G71" s="219">
        <f>IF((NoHerbCov=1),"",MAX(F72:F76)/MAX(E72:E76))</f>
        <v>0</v>
      </c>
      <c r="H71" s="1881" t="s">
        <v>763</v>
      </c>
      <c r="I71" s="2000" t="s">
        <v>1215</v>
      </c>
      <c r="J71" s="182"/>
      <c r="K71" s="2"/>
      <c r="L71" s="2"/>
    </row>
    <row r="72" spans="1:12" ht="15" customHeight="1" x14ac:dyDescent="0.2">
      <c r="A72" s="1991"/>
      <c r="B72" s="1911"/>
      <c r="C72" s="552" t="str">
        <f>F!C96</f>
        <v>&lt;5% of the vegetated AA.</v>
      </c>
      <c r="D72" s="91">
        <f>F!D96</f>
        <v>0</v>
      </c>
      <c r="E72" s="241">
        <v>0</v>
      </c>
      <c r="F72" s="42">
        <f t="shared" ref="F72:F81" si="3">D72*E72</f>
        <v>0</v>
      </c>
      <c r="G72" s="257"/>
      <c r="H72" s="1881"/>
      <c r="I72" s="1989"/>
      <c r="J72" s="182"/>
      <c r="K72" s="2"/>
      <c r="L72" s="2"/>
    </row>
    <row r="73" spans="1:12" ht="15" customHeight="1" x14ac:dyDescent="0.2">
      <c r="A73" s="1991"/>
      <c r="B73" s="1911"/>
      <c r="C73" s="576" t="str">
        <f>F!C97</f>
        <v>5-25% of the vegetated AA.</v>
      </c>
      <c r="D73" s="91">
        <f>F!D97</f>
        <v>0</v>
      </c>
      <c r="E73" s="241">
        <v>3</v>
      </c>
      <c r="F73" s="42">
        <f t="shared" si="3"/>
        <v>0</v>
      </c>
      <c r="G73" s="257"/>
      <c r="H73" s="1881"/>
      <c r="I73" s="1989"/>
      <c r="J73" s="182"/>
      <c r="K73" s="2"/>
      <c r="L73" s="2"/>
    </row>
    <row r="74" spans="1:12" ht="15" customHeight="1" x14ac:dyDescent="0.2">
      <c r="A74" s="1991"/>
      <c r="B74" s="1911"/>
      <c r="C74" s="576" t="str">
        <f>F!C98</f>
        <v>25-50% of the vegetated AA.</v>
      </c>
      <c r="D74" s="91">
        <f>F!D98</f>
        <v>0</v>
      </c>
      <c r="E74" s="241">
        <v>4</v>
      </c>
      <c r="F74" s="42">
        <f t="shared" si="3"/>
        <v>0</v>
      </c>
      <c r="G74" s="257"/>
      <c r="H74" s="1881"/>
      <c r="I74" s="1989"/>
      <c r="J74" s="182"/>
      <c r="K74" s="2"/>
      <c r="L74" s="2"/>
    </row>
    <row r="75" spans="1:12" ht="15" customHeight="1" x14ac:dyDescent="0.2">
      <c r="A75" s="1991"/>
      <c r="B75" s="1911"/>
      <c r="C75" s="576" t="str">
        <f>F!C99</f>
        <v>50-95% of the vegetated AA.</v>
      </c>
      <c r="D75" s="91">
        <f>F!D99</f>
        <v>0</v>
      </c>
      <c r="E75" s="241">
        <v>2</v>
      </c>
      <c r="F75" s="42">
        <f t="shared" si="3"/>
        <v>0</v>
      </c>
      <c r="G75" s="257"/>
      <c r="H75" s="1881"/>
      <c r="I75" s="1989"/>
      <c r="J75" s="182"/>
      <c r="K75" s="2"/>
      <c r="L75" s="2"/>
    </row>
    <row r="76" spans="1:12" ht="15" customHeight="1" thickBot="1" x14ac:dyDescent="0.25">
      <c r="A76" s="1991"/>
      <c r="B76" s="1911"/>
      <c r="C76" s="533" t="str">
        <f>F!C100</f>
        <v>&gt;95% of the vegetated AA. SKIP to F20 (Invasive Plant Cover).</v>
      </c>
      <c r="D76" s="370">
        <f>F!D100</f>
        <v>0</v>
      </c>
      <c r="E76" s="380">
        <v>1</v>
      </c>
      <c r="F76" s="561">
        <f t="shared" si="3"/>
        <v>0</v>
      </c>
      <c r="G76" s="433"/>
      <c r="H76" s="1881"/>
      <c r="I76" s="1990"/>
      <c r="J76" s="182"/>
      <c r="K76" s="2"/>
      <c r="L76" s="2"/>
    </row>
    <row r="77" spans="1:12" ht="21" customHeight="1" thickBot="1" x14ac:dyDescent="0.25">
      <c r="A77" s="1992" t="str">
        <f>F!A101</f>
        <v>F18</v>
      </c>
      <c r="B77" s="1867" t="str">
        <f>F!B101</f>
        <v>Sedge Cover</v>
      </c>
      <c r="C77" s="352" t="str">
        <f>F!C101</f>
        <v>Sedges (Carex spp.) and/or cottongrass (Eriophorum spp.) occupy:</v>
      </c>
      <c r="D77" s="581"/>
      <c r="E77" s="376"/>
      <c r="F77" s="563"/>
      <c r="G77" s="225">
        <f>IF((NoHerbCov=1),"", MAX(F78:F81)/MAX(E78:E81))</f>
        <v>0</v>
      </c>
      <c r="H77" s="1910" t="s">
        <v>764</v>
      </c>
      <c r="I77" s="2000" t="s">
        <v>1691</v>
      </c>
      <c r="J77" s="182"/>
      <c r="K77" s="2"/>
      <c r="L77" s="2"/>
    </row>
    <row r="78" spans="1:12" ht="15" customHeight="1" x14ac:dyDescent="0.2">
      <c r="A78" s="1991"/>
      <c r="B78" s="1911"/>
      <c r="C78" s="552" t="str">
        <f>F!C102</f>
        <v>&lt;0.01 hectare and &lt;1% of the herbaceous cover (excluding mosses).</v>
      </c>
      <c r="D78" s="354">
        <f>F!D102</f>
        <v>0</v>
      </c>
      <c r="E78" s="377">
        <v>0</v>
      </c>
      <c r="F78" s="564">
        <f t="shared" si="3"/>
        <v>0</v>
      </c>
      <c r="G78" s="257"/>
      <c r="H78" s="1881"/>
      <c r="I78" s="1989"/>
      <c r="J78" s="182"/>
      <c r="K78" s="2"/>
      <c r="L78" s="2"/>
    </row>
    <row r="79" spans="1:12" ht="15" customHeight="1" x14ac:dyDescent="0.2">
      <c r="A79" s="1991"/>
      <c r="B79" s="1911"/>
      <c r="C79" s="576" t="str">
        <f>F!C103</f>
        <v>1-30% of the herbaceous cover.</v>
      </c>
      <c r="D79" s="354">
        <f>F!D103</f>
        <v>0</v>
      </c>
      <c r="E79" s="377">
        <v>3</v>
      </c>
      <c r="F79" s="564">
        <f t="shared" si="3"/>
        <v>0</v>
      </c>
      <c r="G79" s="257"/>
      <c r="H79" s="1881"/>
      <c r="I79" s="1989"/>
      <c r="J79" s="182"/>
      <c r="K79" s="2"/>
      <c r="L79" s="2"/>
    </row>
    <row r="80" spans="1:12" ht="15" customHeight="1" x14ac:dyDescent="0.2">
      <c r="A80" s="1991"/>
      <c r="B80" s="1911"/>
      <c r="C80" s="576" t="str">
        <f>F!C105</f>
        <v>60-90% of the herbaceous cover.</v>
      </c>
      <c r="D80" s="354">
        <f>F!D105</f>
        <v>0</v>
      </c>
      <c r="E80" s="377">
        <v>2</v>
      </c>
      <c r="F80" s="564">
        <f t="shared" si="3"/>
        <v>0</v>
      </c>
      <c r="G80" s="257"/>
      <c r="H80" s="1881"/>
      <c r="I80" s="1989"/>
      <c r="J80" s="182"/>
      <c r="K80" s="2"/>
      <c r="L80" s="2"/>
    </row>
    <row r="81" spans="1:12" ht="15" customHeight="1" thickBot="1" x14ac:dyDescent="0.25">
      <c r="A81" s="1993"/>
      <c r="B81" s="1978"/>
      <c r="C81" s="445" t="str">
        <f>F!C106</f>
        <v>&gt;90% of the herbaceous cover.</v>
      </c>
      <c r="D81" s="94">
        <f>F!D106</f>
        <v>0</v>
      </c>
      <c r="E81" s="244">
        <v>1</v>
      </c>
      <c r="F81" s="88">
        <f t="shared" si="3"/>
        <v>0</v>
      </c>
      <c r="G81" s="258"/>
      <c r="H81" s="1882"/>
      <c r="I81" s="1990"/>
      <c r="J81" s="182"/>
      <c r="K81" s="2"/>
      <c r="L81" s="2"/>
    </row>
    <row r="82" spans="1:12" ht="39" thickBot="1" x14ac:dyDescent="0.25">
      <c r="A82" s="1991" t="str">
        <f>F!A107</f>
        <v>F19</v>
      </c>
      <c r="B82" s="1911" t="str">
        <f>F!B107</f>
        <v xml:space="preserve">Dominance of Most Abundant Herbaceous Species </v>
      </c>
      <c r="C82" s="1397" t="str">
        <f>F!C107</f>
        <v>Determine which two native herbaceous (forb and graminoid) species comprise the greatest portion of the herbaceous cover that is unshaded by a woody canopy.  Then choose one of the following:</v>
      </c>
      <c r="D82" s="1516"/>
      <c r="E82" s="1517"/>
      <c r="F82" s="127"/>
      <c r="G82" s="219" t="str">
        <f>IF((SUM(D24:D27)=0),"", MAX(F83:F84))</f>
        <v/>
      </c>
      <c r="H82" s="1881" t="s">
        <v>173</v>
      </c>
      <c r="I82" s="2000" t="s">
        <v>1216</v>
      </c>
      <c r="J82" s="182"/>
      <c r="K82" s="2"/>
      <c r="L82" s="2"/>
    </row>
    <row r="83" spans="1:12" ht="27" customHeight="1" x14ac:dyDescent="0.2">
      <c r="A83" s="2035"/>
      <c r="B83" s="1989"/>
      <c r="C83" s="552" t="str">
        <f>F!C108</f>
        <v>those species together comprise &gt; 50% of the areal cover of native herbaceous plants at any time during the year.</v>
      </c>
      <c r="D83" s="40">
        <f>F!D108</f>
        <v>0</v>
      </c>
      <c r="E83" s="260">
        <v>0</v>
      </c>
      <c r="F83" s="42">
        <f>D83*E83</f>
        <v>0</v>
      </c>
      <c r="G83" s="257"/>
      <c r="H83" s="1881"/>
      <c r="I83" s="1989"/>
      <c r="J83" s="182"/>
      <c r="K83" s="2"/>
      <c r="L83" s="2"/>
    </row>
    <row r="84" spans="1:12" ht="27" customHeight="1" thickBot="1" x14ac:dyDescent="0.25">
      <c r="A84" s="2035"/>
      <c r="B84" s="1989"/>
      <c r="C84" s="533" t="str">
        <f>F!C109</f>
        <v>those species together do not comprise &gt; 50% of the areal cover of native herbaceous plants at any time during the year.</v>
      </c>
      <c r="D84" s="370">
        <f>F!D109</f>
        <v>0</v>
      </c>
      <c r="E84" s="432">
        <v>1</v>
      </c>
      <c r="F84" s="561">
        <f>D84*E84</f>
        <v>0</v>
      </c>
      <c r="G84" s="433"/>
      <c r="H84" s="1881"/>
      <c r="I84" s="1990"/>
      <c r="J84" s="182"/>
      <c r="K84" s="2"/>
      <c r="L84" s="2"/>
    </row>
    <row r="85" spans="1:12" ht="102.6" customHeight="1" thickBot="1" x14ac:dyDescent="0.25">
      <c r="A85" s="1992" t="str">
        <f>F!A110</f>
        <v>F20</v>
      </c>
      <c r="B85" s="1867" t="str">
        <f>F!B110</f>
        <v>Invasive Plant Cover</v>
      </c>
      <c r="C85" s="352" t="str">
        <f>F!C110</f>
        <v>In this region, the more frequent invasive graminoids include smooth brome, several bluegrasses, quackgrass, timothy, alfalfa, reed canarygrass, red fescue, spreading bentgrass.  The more frequent invasive forbs include most thistles and sow-thistles, most clovers, sweetclover, black medick, dandelion, great plantain, hemp-nettle, lamb's-quarters, shepherd's-purse, curly dock, pennycress, wallflower, hawksbeard, tansy, some chickweeds, sticky-willy bedstraw, stickseed, tall buttercup. Select the condition that represents whichever cover of invasives is greater -- percent herbaceous that is invasive, or percent woody that is invasive:</v>
      </c>
      <c r="D85" s="1508"/>
      <c r="E85" s="376"/>
      <c r="F85" s="1518"/>
      <c r="G85" s="225">
        <f>MAX(F86:F90)/MAX(E86:E90)</f>
        <v>0</v>
      </c>
      <c r="H85" s="1910" t="s">
        <v>814</v>
      </c>
      <c r="I85" s="2000" t="s">
        <v>1908</v>
      </c>
      <c r="J85" s="182"/>
      <c r="K85" s="2"/>
      <c r="L85" s="2"/>
    </row>
    <row r="86" spans="1:12" ht="27" customHeight="1" x14ac:dyDescent="0.2">
      <c r="A86" s="2035"/>
      <c r="B86" s="1989"/>
      <c r="C86" s="552" t="str">
        <f>F!C111</f>
        <v>invasive species appear to be absent in the AA or are present only in trace amount (a few individuals).</v>
      </c>
      <c r="D86" s="180">
        <f>F!D111</f>
        <v>0</v>
      </c>
      <c r="E86" s="377">
        <v>4</v>
      </c>
      <c r="F86" s="564">
        <f>D86*E86</f>
        <v>0</v>
      </c>
      <c r="G86" s="202" t="s">
        <v>406</v>
      </c>
      <c r="H86" s="1881"/>
      <c r="I86" s="1989"/>
      <c r="J86" s="182"/>
      <c r="K86" s="2"/>
      <c r="L86" s="2"/>
    </row>
    <row r="87" spans="1:12" ht="27" customHeight="1" x14ac:dyDescent="0.2">
      <c r="A87" s="2035"/>
      <c r="B87" s="1989"/>
      <c r="C87" s="576" t="str">
        <f>F!C112</f>
        <v>Invasive species are present in more than trace amounts, but comprise &lt;5% of herbaceous cover (or woody cover, if the invasives are woody).</v>
      </c>
      <c r="D87" s="354">
        <f>F!D112</f>
        <v>0</v>
      </c>
      <c r="E87" s="377">
        <v>3</v>
      </c>
      <c r="F87" s="564">
        <f>D87*E87</f>
        <v>0</v>
      </c>
      <c r="G87" s="202"/>
      <c r="H87" s="1881"/>
      <c r="I87" s="1989"/>
      <c r="J87" s="182"/>
      <c r="K87" s="2"/>
      <c r="L87" s="2"/>
    </row>
    <row r="88" spans="1:12" ht="25.5" x14ac:dyDescent="0.2">
      <c r="A88" s="2035"/>
      <c r="B88" s="1989"/>
      <c r="C88" s="576" t="str">
        <f>F!C113</f>
        <v>Invasive species comprise 5-20% of the herb cover (or woody cover, if the invasives are woody).</v>
      </c>
      <c r="D88" s="354">
        <f>F!D113</f>
        <v>0</v>
      </c>
      <c r="E88" s="435">
        <v>2</v>
      </c>
      <c r="F88" s="564">
        <f>D88*E88</f>
        <v>0</v>
      </c>
      <c r="G88" s="257"/>
      <c r="H88" s="1881"/>
      <c r="I88" s="1989"/>
      <c r="J88" s="182"/>
      <c r="K88" s="2"/>
      <c r="L88" s="2"/>
    </row>
    <row r="89" spans="1:12" ht="25.5" x14ac:dyDescent="0.2">
      <c r="A89" s="2035"/>
      <c r="B89" s="1989"/>
      <c r="C89" s="576" t="str">
        <f>F!C114</f>
        <v>Invasive species comprise 20-50% of the herb cover (or woody cover, if the invasives are woody).</v>
      </c>
      <c r="D89" s="354">
        <f>F!D114</f>
        <v>0</v>
      </c>
      <c r="E89" s="435">
        <v>1</v>
      </c>
      <c r="F89" s="564">
        <f>D89*E89</f>
        <v>0</v>
      </c>
      <c r="G89" s="257"/>
      <c r="H89" s="1881"/>
      <c r="I89" s="1989"/>
      <c r="J89" s="182"/>
      <c r="K89" s="2"/>
      <c r="L89" s="2"/>
    </row>
    <row r="90" spans="1:12" ht="26.25" thickBot="1" x14ac:dyDescent="0.25">
      <c r="A90" s="2037"/>
      <c r="B90" s="1990"/>
      <c r="C90" s="445" t="str">
        <f>F!C115</f>
        <v>Invasive species comprise &gt;50% of the herb cover (or woody cover, if the invasives are woody).</v>
      </c>
      <c r="D90" s="94">
        <f>F!D115</f>
        <v>0</v>
      </c>
      <c r="E90" s="263">
        <v>0</v>
      </c>
      <c r="F90" s="559">
        <f>D90*E90</f>
        <v>0</v>
      </c>
      <c r="G90" s="277"/>
      <c r="H90" s="1882"/>
      <c r="I90" s="1990"/>
      <c r="J90" s="182"/>
      <c r="K90" s="2"/>
      <c r="L90" s="2"/>
    </row>
    <row r="91" spans="1:12" ht="30" customHeight="1" thickBot="1" x14ac:dyDescent="0.25">
      <c r="A91" s="1991" t="str">
        <f>F!A116</f>
        <v>F21</v>
      </c>
      <c r="B91" s="1911" t="str">
        <f>F!B116</f>
        <v>Weed Source Along Edge</v>
      </c>
      <c r="C91" s="1397" t="str">
        <f>F!C116</f>
        <v>Along the wetland-upland edge, the percent of the upland edge (within 3 m of wetland) that is occupied by plant species that are considered invasive (see above) is:</v>
      </c>
      <c r="D91" s="1519"/>
      <c r="E91" s="239"/>
      <c r="F91" s="259"/>
      <c r="G91" s="219">
        <f>MAX(F92:F95)/MAX(E92:E95)</f>
        <v>0</v>
      </c>
      <c r="H91" s="1881" t="s">
        <v>174</v>
      </c>
      <c r="I91" s="1867" t="s">
        <v>276</v>
      </c>
      <c r="J91" s="182"/>
      <c r="K91" s="2"/>
      <c r="L91" s="2"/>
    </row>
    <row r="92" spans="1:12" ht="15" customHeight="1" x14ac:dyDescent="0.2">
      <c r="A92" s="1991"/>
      <c r="B92" s="1911"/>
      <c r="C92" s="552" t="str">
        <f>F!C117</f>
        <v>none of the upland edge (invasives apparently absent).</v>
      </c>
      <c r="D92" s="180">
        <f>F!D117</f>
        <v>0</v>
      </c>
      <c r="E92" s="241">
        <v>4</v>
      </c>
      <c r="F92" s="241">
        <f>D92*E92</f>
        <v>0</v>
      </c>
      <c r="G92" s="202"/>
      <c r="H92" s="1881"/>
      <c r="I92" s="1911"/>
      <c r="J92" s="182"/>
      <c r="K92" s="2"/>
      <c r="L92" s="2"/>
    </row>
    <row r="93" spans="1:12" ht="15" customHeight="1" x14ac:dyDescent="0.2">
      <c r="A93" s="1991"/>
      <c r="B93" s="1911"/>
      <c r="C93" s="576" t="str">
        <f>F!C118</f>
        <v>some (but &lt;5%) of the upland edge.</v>
      </c>
      <c r="D93" s="40">
        <f>F!D118</f>
        <v>0</v>
      </c>
      <c r="E93" s="241">
        <v>3</v>
      </c>
      <c r="F93" s="241">
        <f>D93*E93</f>
        <v>0</v>
      </c>
      <c r="G93" s="257"/>
      <c r="H93" s="1881"/>
      <c r="I93" s="1911"/>
      <c r="J93" s="182"/>
      <c r="K93" s="2"/>
      <c r="L93" s="2"/>
    </row>
    <row r="94" spans="1:12" ht="15" customHeight="1" x14ac:dyDescent="0.2">
      <c r="A94" s="1991"/>
      <c r="B94" s="1911"/>
      <c r="C94" s="576" t="str">
        <f>F!C119</f>
        <v>5-50% of the upland edge.</v>
      </c>
      <c r="D94" s="91">
        <f>F!D119</f>
        <v>0</v>
      </c>
      <c r="E94" s="241">
        <v>2</v>
      </c>
      <c r="F94" s="241">
        <f>D94*E94</f>
        <v>0</v>
      </c>
      <c r="G94" s="257"/>
      <c r="H94" s="1881"/>
      <c r="I94" s="1911"/>
      <c r="J94" s="182"/>
      <c r="K94" s="2"/>
      <c r="L94" s="2"/>
    </row>
    <row r="95" spans="1:12" ht="15" customHeight="1" thickBot="1" x14ac:dyDescent="0.25">
      <c r="A95" s="1991"/>
      <c r="B95" s="1911"/>
      <c r="C95" s="762" t="str">
        <f>F!C120</f>
        <v>most (&gt;50%) of the upland edge.</v>
      </c>
      <c r="D95" s="370">
        <f>F!D120</f>
        <v>0</v>
      </c>
      <c r="E95" s="380">
        <v>0</v>
      </c>
      <c r="F95" s="380">
        <f>D95*E95</f>
        <v>0</v>
      </c>
      <c r="G95" s="721"/>
      <c r="H95" s="1881"/>
      <c r="I95" s="1911"/>
      <c r="J95" s="182"/>
      <c r="K95" s="2"/>
      <c r="L95" s="2"/>
    </row>
    <row r="96" spans="1:12" s="34" customFormat="1" ht="30" customHeight="1" thickBot="1" x14ac:dyDescent="0.25">
      <c r="A96" s="1992" t="str">
        <f>F!A127</f>
        <v>F23</v>
      </c>
      <c r="B96" s="1867" t="str">
        <f>F!B127</f>
        <v>% with Persistent Surface Water</v>
      </c>
      <c r="C96" s="352" t="str">
        <f>F!C127</f>
        <v>The percentage of the AA that has surface water (either ponded or flowing, either open or obscured by vegetation) during all of the growing season during most years is:</v>
      </c>
      <c r="D96" s="282"/>
      <c r="E96" s="376"/>
      <c r="F96" s="1520"/>
      <c r="G96" s="225">
        <f>IF((AllSat1&gt;0),"",MAX(F97:F102)/MAX(E97:E102))</f>
        <v>0</v>
      </c>
      <c r="H96" s="1910" t="s">
        <v>778</v>
      </c>
      <c r="I96" s="1867" t="s">
        <v>1209</v>
      </c>
      <c r="J96" s="138"/>
      <c r="K96" s="8"/>
      <c r="L96" s="8"/>
    </row>
    <row r="97" spans="1:12" s="34" customFormat="1" ht="15" customHeight="1" x14ac:dyDescent="0.2">
      <c r="A97" s="1991"/>
      <c r="B97" s="1911"/>
      <c r="C97" s="552" t="str">
        <f>F!C128</f>
        <v>&lt;0.01 hectare and &lt;1% of the AA.  SKIP to F27 (% Flooded Only Seasonally).</v>
      </c>
      <c r="D97" s="354">
        <f>F!D128</f>
        <v>0</v>
      </c>
      <c r="E97" s="377">
        <v>2</v>
      </c>
      <c r="F97" s="564">
        <f t="shared" ref="F97:F102" si="4">D97*E97</f>
        <v>0</v>
      </c>
      <c r="G97" s="202"/>
      <c r="H97" s="1881"/>
      <c r="I97" s="1911"/>
      <c r="J97" s="138"/>
      <c r="K97" s="8"/>
      <c r="L97" s="8"/>
    </row>
    <row r="98" spans="1:12" s="34" customFormat="1" ht="15" customHeight="1" x14ac:dyDescent="0.2">
      <c r="A98" s="1991"/>
      <c r="B98" s="1911"/>
      <c r="C98" s="576" t="str">
        <f>F!C129</f>
        <v>1-5% of the AA.</v>
      </c>
      <c r="D98" s="354">
        <f>F!D129</f>
        <v>0</v>
      </c>
      <c r="E98" s="377">
        <v>4</v>
      </c>
      <c r="F98" s="564">
        <f t="shared" si="4"/>
        <v>0</v>
      </c>
      <c r="G98" s="257"/>
      <c r="H98" s="1881"/>
      <c r="I98" s="1911"/>
      <c r="J98" s="138"/>
      <c r="K98" s="8"/>
      <c r="L98" s="8"/>
    </row>
    <row r="99" spans="1:12" s="34" customFormat="1" ht="15" customHeight="1" x14ac:dyDescent="0.2">
      <c r="A99" s="1991"/>
      <c r="B99" s="1911"/>
      <c r="C99" s="576" t="str">
        <f>F!C130</f>
        <v>5-25% of the AA.</v>
      </c>
      <c r="D99" s="354">
        <f>F!D130</f>
        <v>0</v>
      </c>
      <c r="E99" s="377">
        <v>3</v>
      </c>
      <c r="F99" s="564">
        <f t="shared" si="4"/>
        <v>0</v>
      </c>
      <c r="G99" s="257"/>
      <c r="H99" s="1881"/>
      <c r="I99" s="1911"/>
      <c r="J99" s="138"/>
      <c r="K99" s="8"/>
      <c r="L99" s="8"/>
    </row>
    <row r="100" spans="1:12" s="34" customFormat="1" ht="15" customHeight="1" x14ac:dyDescent="0.2">
      <c r="A100" s="1991"/>
      <c r="B100" s="1911"/>
      <c r="C100" s="576" t="str">
        <f>F!C131</f>
        <v>25-50% of the AA.</v>
      </c>
      <c r="D100" s="354">
        <f>F!D131</f>
        <v>0</v>
      </c>
      <c r="E100" s="377">
        <v>2</v>
      </c>
      <c r="F100" s="564">
        <f t="shared" si="4"/>
        <v>0</v>
      </c>
      <c r="G100" s="257"/>
      <c r="H100" s="1881"/>
      <c r="I100" s="1911"/>
      <c r="J100" s="138"/>
      <c r="K100" s="8"/>
      <c r="L100" s="8"/>
    </row>
    <row r="101" spans="1:12" s="34" customFormat="1" ht="15" customHeight="1" x14ac:dyDescent="0.2">
      <c r="A101" s="1991"/>
      <c r="B101" s="1911"/>
      <c r="C101" s="576" t="str">
        <f>F!C132</f>
        <v>50-95% of the AA.</v>
      </c>
      <c r="D101" s="354">
        <f>F!D132</f>
        <v>0</v>
      </c>
      <c r="E101" s="380">
        <v>1</v>
      </c>
      <c r="F101" s="561">
        <f t="shared" si="4"/>
        <v>0</v>
      </c>
      <c r="G101" s="433"/>
      <c r="H101" s="1881"/>
      <c r="I101" s="1911"/>
      <c r="J101" s="138"/>
      <c r="K101" s="8"/>
      <c r="L101" s="8"/>
    </row>
    <row r="102" spans="1:12" s="34" customFormat="1" ht="15" customHeight="1" thickBot="1" x14ac:dyDescent="0.25">
      <c r="A102" s="1993"/>
      <c r="B102" s="1978"/>
      <c r="C102" s="445" t="str">
        <f>F!C133</f>
        <v>&gt;95% of the AA.</v>
      </c>
      <c r="D102" s="94">
        <f>F!D133</f>
        <v>0</v>
      </c>
      <c r="E102" s="244">
        <v>0</v>
      </c>
      <c r="F102" s="88">
        <f t="shared" si="4"/>
        <v>0</v>
      </c>
      <c r="G102" s="258"/>
      <c r="H102" s="1882"/>
      <c r="I102" s="1978"/>
      <c r="J102" s="138"/>
      <c r="K102" s="8"/>
      <c r="L102" s="8"/>
    </row>
    <row r="103" spans="1:12" s="34" customFormat="1" ht="30" customHeight="1" thickBot="1" x14ac:dyDescent="0.25">
      <c r="A103" s="1991" t="str">
        <f>F!A148</f>
        <v>F28</v>
      </c>
      <c r="B103" s="1911" t="str">
        <f>F!B148</f>
        <v>Annual Water Fluctuation Range</v>
      </c>
      <c r="C103" s="1397" t="str">
        <f>F!C148</f>
        <v>The annual fluctuation in surface water level within most of the parts of the AA that contain surface water is:</v>
      </c>
      <c r="D103" s="238"/>
      <c r="E103" s="239"/>
      <c r="F103" s="202"/>
      <c r="G103" s="219">
        <f>IF((AllSat1&gt;0),"", IF((NoSeasonal=1),"",MAX(F104:F108)/MAX(E104:E108)))</f>
        <v>0</v>
      </c>
      <c r="H103" s="1881" t="s">
        <v>187</v>
      </c>
      <c r="I103" s="1867" t="s">
        <v>1263</v>
      </c>
      <c r="J103" s="138"/>
      <c r="K103" s="8"/>
      <c r="L103" s="8"/>
    </row>
    <row r="104" spans="1:12" s="34" customFormat="1" ht="15" customHeight="1" x14ac:dyDescent="0.2">
      <c r="A104" s="1991"/>
      <c r="B104" s="1911"/>
      <c r="C104" s="135" t="str">
        <f>F!C149</f>
        <v xml:space="preserve">&lt;10 cm change (stable or nearly so) </v>
      </c>
      <c r="D104" s="1482">
        <f>F!D149</f>
        <v>0</v>
      </c>
      <c r="E104" s="241">
        <v>1</v>
      </c>
      <c r="F104" s="42">
        <f>D104*E104</f>
        <v>0</v>
      </c>
      <c r="G104" s="202"/>
      <c r="H104" s="1881"/>
      <c r="I104" s="1911"/>
      <c r="J104" s="138"/>
      <c r="K104" s="8"/>
      <c r="L104" s="8"/>
    </row>
    <row r="105" spans="1:12" s="34" customFormat="1" ht="15" customHeight="1" x14ac:dyDescent="0.2">
      <c r="A105" s="1991"/>
      <c r="B105" s="1911"/>
      <c r="C105" s="1483" t="str">
        <f>F!C150</f>
        <v>10 cm - 50 cm change</v>
      </c>
      <c r="D105" s="1482">
        <f>F!D150</f>
        <v>0</v>
      </c>
      <c r="E105" s="241">
        <v>2</v>
      </c>
      <c r="F105" s="42">
        <f>D105*E105</f>
        <v>0</v>
      </c>
      <c r="G105" s="257"/>
      <c r="H105" s="1881"/>
      <c r="I105" s="1911"/>
      <c r="J105" s="138"/>
      <c r="K105" s="8"/>
      <c r="L105" s="8"/>
    </row>
    <row r="106" spans="1:12" s="34" customFormat="1" ht="15" customHeight="1" x14ac:dyDescent="0.2">
      <c r="A106" s="1991"/>
      <c r="B106" s="1911"/>
      <c r="C106" s="1483" t="str">
        <f>F!C151</f>
        <v>0.5 - 1 m change</v>
      </c>
      <c r="D106" s="1482">
        <f>F!D151</f>
        <v>0</v>
      </c>
      <c r="E106" s="722">
        <v>3</v>
      </c>
      <c r="F106" s="812">
        <f>D106*E106</f>
        <v>0</v>
      </c>
      <c r="G106" s="775"/>
      <c r="H106" s="1881"/>
      <c r="I106" s="1911"/>
      <c r="J106" s="138"/>
      <c r="K106" s="8"/>
      <c r="L106" s="8"/>
    </row>
    <row r="107" spans="1:12" s="34" customFormat="1" ht="15" customHeight="1" x14ac:dyDescent="0.2">
      <c r="A107" s="1991"/>
      <c r="B107" s="1911"/>
      <c r="C107" s="1483" t="str">
        <f>F!C152</f>
        <v>1-2 m change</v>
      </c>
      <c r="D107" s="1482">
        <f>F!D152</f>
        <v>0</v>
      </c>
      <c r="E107" s="241">
        <v>3</v>
      </c>
      <c r="F107" s="42">
        <f>D107*E107</f>
        <v>0</v>
      </c>
      <c r="G107" s="257"/>
      <c r="H107" s="1881"/>
      <c r="I107" s="1911"/>
      <c r="J107" s="138"/>
      <c r="K107" s="8"/>
      <c r="L107" s="8"/>
    </row>
    <row r="108" spans="1:12" s="34" customFormat="1" ht="15" customHeight="1" thickBot="1" x14ac:dyDescent="0.25">
      <c r="A108" s="1991"/>
      <c r="B108" s="1911"/>
      <c r="C108" s="1483" t="str">
        <f>F!C153</f>
        <v>&gt;2 m change</v>
      </c>
      <c r="D108" s="370">
        <f>F!D153</f>
        <v>0</v>
      </c>
      <c r="E108" s="380">
        <v>2</v>
      </c>
      <c r="F108" s="561">
        <f>D108*E108</f>
        <v>0</v>
      </c>
      <c r="G108" s="433"/>
      <c r="H108" s="1881"/>
      <c r="I108" s="1978"/>
      <c r="J108" s="138"/>
      <c r="K108" s="8"/>
      <c r="L108" s="8"/>
    </row>
    <row r="109" spans="1:12" s="34" customFormat="1" ht="51.75" thickBot="1" x14ac:dyDescent="0.25">
      <c r="A109" s="1992" t="str">
        <f>F!A155</f>
        <v>F29</v>
      </c>
      <c r="B109" s="1867" t="str">
        <f>F!B155</f>
        <v>Predominant Depth Class</v>
      </c>
      <c r="C109" s="352" t="str">
        <f>F!C155</f>
        <v>During most of the time when water is present, its depth in most of the area is: [Note: This is not asking for the maximum depth]. If a ponded body of open water that adjoins the AA is larger than 8 ha, include its waters in this estimate, but only those waters within a distance from the AA that is equal to the vegetated AA's width]</v>
      </c>
      <c r="D109" s="581"/>
      <c r="E109" s="376"/>
      <c r="F109" s="563"/>
      <c r="G109" s="225">
        <f>IF((AllSat1&gt;0),"", IF((SmallAA=1),"", MAX(F110:F114)/MAX(E110:E114)))</f>
        <v>0</v>
      </c>
      <c r="H109" s="1910" t="s">
        <v>168</v>
      </c>
      <c r="I109" s="1867" t="s">
        <v>1210</v>
      </c>
      <c r="J109" s="138"/>
      <c r="K109" s="8"/>
      <c r="L109" s="8"/>
    </row>
    <row r="110" spans="1:12" s="34" customFormat="1" ht="15" customHeight="1" x14ac:dyDescent="0.2">
      <c r="A110" s="2035"/>
      <c r="B110" s="1911"/>
      <c r="C110" s="552" t="str">
        <f>F!C156</f>
        <v>&lt;10 cm deep (but &gt;0).</v>
      </c>
      <c r="D110" s="180">
        <f>F!D156</f>
        <v>0</v>
      </c>
      <c r="E110" s="377">
        <v>6</v>
      </c>
      <c r="F110" s="564">
        <f>D110*E110</f>
        <v>0</v>
      </c>
      <c r="G110" s="257"/>
      <c r="H110" s="1881"/>
      <c r="I110" s="1911"/>
      <c r="J110" s="138"/>
      <c r="K110" s="8"/>
      <c r="L110" s="8"/>
    </row>
    <row r="111" spans="1:12" s="34" customFormat="1" ht="15" customHeight="1" x14ac:dyDescent="0.2">
      <c r="A111" s="2035"/>
      <c r="B111" s="1911"/>
      <c r="C111" s="576" t="str">
        <f>F!C157</f>
        <v>10 - 50 cm deep.</v>
      </c>
      <c r="D111" s="354">
        <f>F!D157</f>
        <v>0</v>
      </c>
      <c r="E111" s="377">
        <v>4</v>
      </c>
      <c r="F111" s="564">
        <f>D111*E111</f>
        <v>0</v>
      </c>
      <c r="G111" s="257"/>
      <c r="H111" s="1881"/>
      <c r="I111" s="1911"/>
      <c r="J111" s="138"/>
      <c r="K111" s="8"/>
      <c r="L111" s="8"/>
    </row>
    <row r="112" spans="1:12" s="34" customFormat="1" ht="15" customHeight="1" x14ac:dyDescent="0.2">
      <c r="A112" s="2035"/>
      <c r="B112" s="1911"/>
      <c r="C112" s="576" t="str">
        <f>F!C158</f>
        <v>0.5 - 1 m deep.</v>
      </c>
      <c r="D112" s="354">
        <f>F!D158</f>
        <v>0</v>
      </c>
      <c r="E112" s="377">
        <v>3</v>
      </c>
      <c r="F112" s="564">
        <f>D112*E112</f>
        <v>0</v>
      </c>
      <c r="G112" s="257"/>
      <c r="H112" s="1881"/>
      <c r="I112" s="1911"/>
      <c r="J112" s="138"/>
      <c r="K112" s="8"/>
      <c r="L112" s="8"/>
    </row>
    <row r="113" spans="1:12" s="34" customFormat="1" ht="15" customHeight="1" x14ac:dyDescent="0.2">
      <c r="A113" s="2035"/>
      <c r="B113" s="1911"/>
      <c r="C113" s="576" t="str">
        <f>F!C159</f>
        <v>1 - 2 m deep.</v>
      </c>
      <c r="D113" s="354">
        <f>F!D159</f>
        <v>0</v>
      </c>
      <c r="E113" s="377">
        <v>1</v>
      </c>
      <c r="F113" s="564">
        <f>D113*E113</f>
        <v>0</v>
      </c>
      <c r="G113" s="257"/>
      <c r="H113" s="1881"/>
      <c r="I113" s="1911"/>
      <c r="J113" s="138"/>
      <c r="K113" s="8"/>
      <c r="L113" s="8"/>
    </row>
    <row r="114" spans="1:12" s="34" customFormat="1" ht="15" customHeight="1" thickBot="1" x14ac:dyDescent="0.25">
      <c r="A114" s="2037"/>
      <c r="B114" s="1978"/>
      <c r="C114" s="445" t="str">
        <f>F!C160</f>
        <v>&gt;2 m deep.  True for many fringe wetlands.</v>
      </c>
      <c r="D114" s="94">
        <f>F!D160</f>
        <v>0</v>
      </c>
      <c r="E114" s="244">
        <v>0</v>
      </c>
      <c r="F114" s="88">
        <f>D114*E114</f>
        <v>0</v>
      </c>
      <c r="G114" s="258"/>
      <c r="H114" s="1882"/>
      <c r="I114" s="1978"/>
      <c r="J114" s="138"/>
      <c r="K114" s="8"/>
      <c r="L114" s="8"/>
    </row>
    <row r="115" spans="1:12" s="34" customFormat="1" ht="39" thickBot="1" x14ac:dyDescent="0.25">
      <c r="A115" s="1979" t="str">
        <f>F!A173</f>
        <v>F33</v>
      </c>
      <c r="B115" s="1984" t="str">
        <f>F!B173</f>
        <v xml:space="preserve">% of Ponded Water That Is Open </v>
      </c>
      <c r="C115" s="1521" t="str">
        <f>F!C173</f>
        <v>In ducks-eye aerial view, the percentage of the ponded water that is open (lacking emergent vegetation during most of the growing season, and unhidden by a forest or shrub canopy) is:</v>
      </c>
      <c r="D115" s="1485"/>
      <c r="E115" s="376"/>
      <c r="F115" s="563"/>
      <c r="G115" s="225" t="str">
        <f>IF((AllSat1&gt;0),"",IF((OpenW=0),"", IF((SmallAA=1),"", MAX(F116:F121)/MAX(E116:E121))))</f>
        <v/>
      </c>
      <c r="H115" s="1867" t="s">
        <v>1218</v>
      </c>
      <c r="I115" s="1867" t="s">
        <v>1905</v>
      </c>
      <c r="J115" s="138"/>
      <c r="K115" s="8"/>
      <c r="L115" s="8"/>
    </row>
    <row r="116" spans="1:12" s="34" customFormat="1" ht="27" customHeight="1" x14ac:dyDescent="0.2">
      <c r="A116" s="1980"/>
      <c r="B116" s="1985"/>
      <c r="C116" s="924" t="str">
        <f>F!C174</f>
        <v>None, or &lt;1% of the AA and largest pool occupies &lt;0.01 hectares.  Enter "1" and SKIP to F41 (Floating Algae &amp; Duckweed).</v>
      </c>
      <c r="D116" s="382">
        <f>F!D174</f>
        <v>0</v>
      </c>
      <c r="E116" s="377">
        <v>3</v>
      </c>
      <c r="F116" s="564">
        <v>5</v>
      </c>
      <c r="G116" s="257"/>
      <c r="H116" s="1911"/>
      <c r="I116" s="1911"/>
      <c r="J116" s="138"/>
      <c r="K116" s="8"/>
      <c r="L116" s="8"/>
    </row>
    <row r="117" spans="1:12" s="34" customFormat="1" ht="15" customHeight="1" x14ac:dyDescent="0.2">
      <c r="A117" s="1980"/>
      <c r="B117" s="1985"/>
      <c r="C117" s="1522" t="str">
        <f>F!C175</f>
        <v>1-5% of the ponded water.  Enter "1" and SKIP to F41.</v>
      </c>
      <c r="D117" s="382">
        <f>F!D175</f>
        <v>0</v>
      </c>
      <c r="E117" s="377">
        <v>4</v>
      </c>
      <c r="F117" s="564">
        <v>4</v>
      </c>
      <c r="G117" s="257"/>
      <c r="H117" s="1911"/>
      <c r="I117" s="1911"/>
      <c r="J117" s="138"/>
      <c r="K117" s="8"/>
      <c r="L117" s="8"/>
    </row>
    <row r="118" spans="1:12" s="34" customFormat="1" ht="15" customHeight="1" x14ac:dyDescent="0.2">
      <c r="A118" s="1980"/>
      <c r="B118" s="1985"/>
      <c r="C118" s="1522" t="str">
        <f>F!C176</f>
        <v>5-30% of the ponded water.</v>
      </c>
      <c r="D118" s="382">
        <f>F!D176</f>
        <v>0</v>
      </c>
      <c r="E118" s="377">
        <v>3</v>
      </c>
      <c r="F118" s="564">
        <v>3</v>
      </c>
      <c r="G118" s="257"/>
      <c r="H118" s="1911"/>
      <c r="I118" s="1911"/>
      <c r="J118" s="138"/>
      <c r="K118" s="8"/>
      <c r="L118" s="8"/>
    </row>
    <row r="119" spans="1:12" s="34" customFormat="1" ht="15" customHeight="1" x14ac:dyDescent="0.2">
      <c r="A119" s="1980"/>
      <c r="B119" s="1985"/>
      <c r="C119" s="1522" t="str">
        <f>F!C177</f>
        <v>30-70% of the ponded water.</v>
      </c>
      <c r="D119" s="382">
        <f>F!D177</f>
        <v>0</v>
      </c>
      <c r="E119" s="377">
        <v>2</v>
      </c>
      <c r="F119" s="564">
        <v>2</v>
      </c>
      <c r="G119" s="257"/>
      <c r="H119" s="1911"/>
      <c r="I119" s="1911"/>
      <c r="J119" s="138"/>
      <c r="K119" s="8"/>
      <c r="L119" s="8"/>
    </row>
    <row r="120" spans="1:12" s="34" customFormat="1" ht="15" customHeight="1" x14ac:dyDescent="0.2">
      <c r="A120" s="1980"/>
      <c r="B120" s="1985"/>
      <c r="C120" s="1522" t="str">
        <f>F!C178</f>
        <v>70-99% of the ponded water.</v>
      </c>
      <c r="D120" s="382">
        <f>F!D178</f>
        <v>0</v>
      </c>
      <c r="E120" s="377">
        <v>1</v>
      </c>
      <c r="F120" s="564">
        <v>1</v>
      </c>
      <c r="G120" s="257"/>
      <c r="H120" s="1911"/>
      <c r="I120" s="1911"/>
      <c r="J120" s="138"/>
      <c r="K120" s="8"/>
      <c r="L120" s="8"/>
    </row>
    <row r="121" spans="1:12" s="34" customFormat="1" ht="15" customHeight="1" thickBot="1" x14ac:dyDescent="0.25">
      <c r="A121" s="2021"/>
      <c r="B121" s="2005"/>
      <c r="C121" s="449" t="str">
        <f>F!C179</f>
        <v xml:space="preserve">100% of the ponded water. </v>
      </c>
      <c r="D121" s="191">
        <f>F!D179</f>
        <v>0</v>
      </c>
      <c r="E121" s="244">
        <v>0</v>
      </c>
      <c r="F121" s="88">
        <v>0</v>
      </c>
      <c r="G121" s="258"/>
      <c r="H121" s="1978"/>
      <c r="I121" s="1978"/>
      <c r="J121" s="138"/>
      <c r="K121" s="8"/>
      <c r="L121" s="8"/>
    </row>
    <row r="122" spans="1:12" s="34" customFormat="1" ht="39" thickBot="1" x14ac:dyDescent="0.25">
      <c r="A122" s="1979" t="str">
        <f>F!A180</f>
        <v>F34</v>
      </c>
      <c r="B122" s="1979" t="str">
        <f>F!B180</f>
        <v>Predominant Width of Vegetated Zone within Wetland</v>
      </c>
      <c r="C122" s="1318" t="str">
        <f>F!C180</f>
        <v>At the time during the growing season when the AA's water level is lowest, the average width of vegetated area in the AA that separates adjoining uplands from open water within the AA is:</v>
      </c>
      <c r="D122" s="777"/>
      <c r="E122" s="777"/>
      <c r="F122" s="87"/>
      <c r="G122" s="1258" t="str">
        <f>IF((AllSat1&gt;0),"",IF((OpenW=0),"", IF((SmallAA=1),"", MAX(F123:F128)/MAX(E123:E128))))</f>
        <v/>
      </c>
      <c r="H122" s="1910" t="s">
        <v>169</v>
      </c>
      <c r="I122" s="1867" t="s">
        <v>1906</v>
      </c>
      <c r="J122" s="138"/>
      <c r="K122" s="8"/>
      <c r="L122" s="8"/>
    </row>
    <row r="123" spans="1:12" s="34" customFormat="1" ht="15" customHeight="1" x14ac:dyDescent="0.2">
      <c r="A123" s="1980"/>
      <c r="B123" s="1980"/>
      <c r="C123" s="858" t="str">
        <f>F!C181</f>
        <v>&lt;1 m</v>
      </c>
      <c r="D123" s="180">
        <f>F!D181</f>
        <v>0</v>
      </c>
      <c r="E123" s="734">
        <v>1</v>
      </c>
      <c r="F123" s="812">
        <f t="shared" ref="F123:F128" si="5">D123*E123</f>
        <v>0</v>
      </c>
      <c r="G123" s="1523"/>
      <c r="H123" s="1881"/>
      <c r="I123" s="1911"/>
      <c r="J123" s="138"/>
      <c r="K123" s="8"/>
      <c r="L123" s="8"/>
    </row>
    <row r="124" spans="1:12" s="34" customFormat="1" ht="15" customHeight="1" x14ac:dyDescent="0.2">
      <c r="A124" s="1980"/>
      <c r="B124" s="1980"/>
      <c r="C124" s="858" t="str">
        <f>F!C182</f>
        <v>1 - 9 m</v>
      </c>
      <c r="D124" s="180">
        <f>F!D182</f>
        <v>0</v>
      </c>
      <c r="E124" s="734">
        <v>2</v>
      </c>
      <c r="F124" s="812">
        <f t="shared" si="5"/>
        <v>0</v>
      </c>
      <c r="G124" s="859"/>
      <c r="H124" s="1881"/>
      <c r="I124" s="1911"/>
      <c r="J124" s="138"/>
      <c r="K124" s="8"/>
      <c r="L124" s="8"/>
    </row>
    <row r="125" spans="1:12" s="34" customFormat="1" ht="15" customHeight="1" x14ac:dyDescent="0.2">
      <c r="A125" s="1980"/>
      <c r="B125" s="1980"/>
      <c r="C125" s="858" t="str">
        <f>F!C183</f>
        <v>10 - 29 m</v>
      </c>
      <c r="D125" s="180">
        <f>F!D183</f>
        <v>0</v>
      </c>
      <c r="E125" s="734">
        <v>3</v>
      </c>
      <c r="F125" s="812">
        <f t="shared" si="5"/>
        <v>0</v>
      </c>
      <c r="G125" s="859"/>
      <c r="H125" s="1881"/>
      <c r="I125" s="1911"/>
      <c r="J125" s="138"/>
      <c r="K125" s="8"/>
      <c r="L125" s="8"/>
    </row>
    <row r="126" spans="1:12" s="34" customFormat="1" ht="15" customHeight="1" x14ac:dyDescent="0.2">
      <c r="A126" s="1980"/>
      <c r="B126" s="1980"/>
      <c r="C126" s="858" t="str">
        <f>F!C184</f>
        <v>30 - 49 m</v>
      </c>
      <c r="D126" s="180">
        <f>F!D184</f>
        <v>0</v>
      </c>
      <c r="E126" s="734">
        <v>4</v>
      </c>
      <c r="F126" s="812">
        <f t="shared" si="5"/>
        <v>0</v>
      </c>
      <c r="G126" s="859"/>
      <c r="H126" s="1881"/>
      <c r="I126" s="1911"/>
      <c r="J126" s="138"/>
      <c r="K126" s="8"/>
      <c r="L126" s="8"/>
    </row>
    <row r="127" spans="1:12" s="34" customFormat="1" ht="15" customHeight="1" x14ac:dyDescent="0.2">
      <c r="A127" s="1980"/>
      <c r="B127" s="1980"/>
      <c r="C127" s="858" t="str">
        <f>F!C185</f>
        <v>50 - 100 m</v>
      </c>
      <c r="D127" s="180">
        <f>F!D185</f>
        <v>0</v>
      </c>
      <c r="E127" s="722">
        <v>5</v>
      </c>
      <c r="F127" s="812">
        <f t="shared" si="5"/>
        <v>0</v>
      </c>
      <c r="G127" s="1054"/>
      <c r="H127" s="1881"/>
      <c r="I127" s="1911"/>
      <c r="J127" s="138"/>
      <c r="K127" s="8"/>
      <c r="L127" s="8"/>
    </row>
    <row r="128" spans="1:12" s="34" customFormat="1" ht="15" customHeight="1" thickBot="1" x14ac:dyDescent="0.25">
      <c r="A128" s="2021"/>
      <c r="B128" s="2021"/>
      <c r="C128" s="1524" t="str">
        <f>F!C186</f>
        <v>&gt; 100 m</v>
      </c>
      <c r="D128" s="1525">
        <f>F!D186</f>
        <v>0</v>
      </c>
      <c r="E128" s="1526">
        <v>6</v>
      </c>
      <c r="F128" s="88">
        <f t="shared" si="5"/>
        <v>0</v>
      </c>
      <c r="G128" s="1322"/>
      <c r="H128" s="1882"/>
      <c r="I128" s="1978"/>
      <c r="J128" s="138"/>
      <c r="K128" s="8"/>
      <c r="L128" s="8"/>
    </row>
    <row r="129" spans="1:12" s="34" customFormat="1" ht="30" customHeight="1" thickBot="1" x14ac:dyDescent="0.25">
      <c r="A129" s="2240" t="str">
        <f>F!A199</f>
        <v>F37</v>
      </c>
      <c r="B129" s="1985" t="str">
        <f>F!B199</f>
        <v>Interspersion of Robust Emergents &amp; Open Water</v>
      </c>
      <c r="C129" s="1397" t="str">
        <f>F!C199</f>
        <v>During most of the part of the growing season when water is present, the spatial pattern of robust herbaceous vegetation (e.g., cattail, tall bulrush, buckbean) is mostly:</v>
      </c>
      <c r="D129" s="238"/>
      <c r="E129" s="238"/>
      <c r="F129" s="127"/>
      <c r="G129" s="219">
        <f>IF((AllSat1&gt;0),"",IF((NoPonded=1),"",IF((NoOpenPonded+NoOpenPonded1&gt;0),"",IF((AllOpenPond=1),"", IF((SmallAA=1),"", MAX(F130:F132)/MAX(E130:E132))))))</f>
        <v>0</v>
      </c>
      <c r="H129" s="1881" t="s">
        <v>184</v>
      </c>
      <c r="I129" s="1867" t="s">
        <v>1211</v>
      </c>
      <c r="J129" s="138"/>
      <c r="K129" s="8"/>
      <c r="L129" s="8"/>
    </row>
    <row r="130" spans="1:12" s="34" customFormat="1" ht="27" customHeight="1" x14ac:dyDescent="0.2">
      <c r="A130" s="2075"/>
      <c r="B130" s="1911"/>
      <c r="C130" s="552" t="str">
        <f>F!C200</f>
        <v>Scattered.  More than 30% of such vegetation forms small islands or corridors surrounded by water.</v>
      </c>
      <c r="D130" s="180">
        <f>F!D200</f>
        <v>0</v>
      </c>
      <c r="E130" s="245">
        <v>3</v>
      </c>
      <c r="F130" s="42">
        <f>D130*E130</f>
        <v>0</v>
      </c>
      <c r="G130" s="257"/>
      <c r="H130" s="1881"/>
      <c r="I130" s="1911"/>
      <c r="J130" s="138"/>
      <c r="K130" s="8"/>
      <c r="L130" s="8"/>
    </row>
    <row r="131" spans="1:12" s="34" customFormat="1" ht="15" customHeight="1" x14ac:dyDescent="0.2">
      <c r="A131" s="2075"/>
      <c r="B131" s="1911"/>
      <c r="C131" s="576" t="str">
        <f>F!C201</f>
        <v>Intermediate.</v>
      </c>
      <c r="D131" s="91">
        <f>F!D201</f>
        <v>0</v>
      </c>
      <c r="E131" s="245">
        <v>2</v>
      </c>
      <c r="F131" s="42">
        <f>D131*E131</f>
        <v>0</v>
      </c>
      <c r="G131" s="257"/>
      <c r="H131" s="1881"/>
      <c r="I131" s="1911"/>
      <c r="J131" s="138"/>
      <c r="K131" s="8"/>
      <c r="L131" s="8"/>
    </row>
    <row r="132" spans="1:12" s="34" customFormat="1" ht="33" customHeight="1" thickBot="1" x14ac:dyDescent="0.25">
      <c r="A132" s="2075"/>
      <c r="B132" s="1911"/>
      <c r="C132" s="576" t="str">
        <f>F!C202</f>
        <v>Clumped. More than 70% of such vegetation is in bands along the wetland perimeter or is clumped at one or a few sides of the surface water area.</v>
      </c>
      <c r="D132" s="91">
        <f>F!D202</f>
        <v>0</v>
      </c>
      <c r="E132" s="248">
        <v>1</v>
      </c>
      <c r="F132" s="41">
        <f>D132*E132</f>
        <v>0</v>
      </c>
      <c r="G132" s="433"/>
      <c r="H132" s="1881"/>
      <c r="I132" s="1978"/>
      <c r="J132" s="138"/>
      <c r="K132" s="8"/>
      <c r="L132" s="8"/>
    </row>
    <row r="133" spans="1:12" s="34" customFormat="1" ht="21" customHeight="1" thickBot="1" x14ac:dyDescent="0.25">
      <c r="A133" s="1992" t="str">
        <f>F!A222</f>
        <v>F45</v>
      </c>
      <c r="B133" s="1867" t="str">
        <f>F!B222</f>
        <v>Beaver Probability</v>
      </c>
      <c r="C133" s="352" t="str">
        <f>F!C222</f>
        <v>Use of the AA by beaver during the past 5 years is (select most applicable ONE):</v>
      </c>
      <c r="D133" s="777"/>
      <c r="E133" s="376"/>
      <c r="F133" s="1520"/>
      <c r="G133" s="225">
        <f>IF((AllSat1&gt;0),"",MAX(F134:F136)/MAX(E134:E136))</f>
        <v>0</v>
      </c>
      <c r="H133" s="1910" t="s">
        <v>185</v>
      </c>
      <c r="I133" s="1867" t="s">
        <v>1358</v>
      </c>
      <c r="J133" s="138"/>
      <c r="K133" s="8"/>
      <c r="L133" s="8"/>
    </row>
    <row r="134" spans="1:12" s="34" customFormat="1" ht="27" customHeight="1" x14ac:dyDescent="0.2">
      <c r="A134" s="1991"/>
      <c r="B134" s="1911"/>
      <c r="C134" s="934" t="str">
        <f>F!C223</f>
        <v>evident from direct observation or presence of gnawed limbs, dams, tracks, dens, lodges, or extensive stands of water-killed trees (snags).</v>
      </c>
      <c r="D134" s="180">
        <f>F!D223</f>
        <v>0</v>
      </c>
      <c r="E134" s="722">
        <v>3</v>
      </c>
      <c r="F134" s="812">
        <f>D134*E134</f>
        <v>0</v>
      </c>
      <c r="G134" s="202"/>
      <c r="H134" s="1881"/>
      <c r="I134" s="1911"/>
      <c r="J134" s="138"/>
      <c r="K134" s="8"/>
      <c r="L134" s="8"/>
    </row>
    <row r="135" spans="1:12" s="34" customFormat="1" ht="54" customHeight="1" x14ac:dyDescent="0.2">
      <c r="A135" s="1991"/>
      <c r="B135" s="1911"/>
      <c r="C135" s="935" t="str">
        <f>F!C224</f>
        <v>likely based on known occurrence in the region and proximity to suitable habitat, which may include: (a) a persistent freshwater wetland, pond, or lake, or a perennial low or mid-gradient (&lt;10%) channel, and (b) a corridor or multiple stands of hardwood trees and shrubs in vegetated areas near surface water.</v>
      </c>
      <c r="D135" s="733">
        <f>F!D224</f>
        <v>0</v>
      </c>
      <c r="E135" s="722">
        <v>2</v>
      </c>
      <c r="F135" s="812">
        <f>D135*E135</f>
        <v>0</v>
      </c>
      <c r="G135" s="775"/>
      <c r="H135" s="1881"/>
      <c r="I135" s="1911"/>
      <c r="J135" s="138"/>
      <c r="K135" s="8"/>
      <c r="L135" s="8"/>
    </row>
    <row r="136" spans="1:12" s="34" customFormat="1" ht="39" thickBot="1" x14ac:dyDescent="0.25">
      <c r="A136" s="1993"/>
      <c r="B136" s="1978"/>
      <c r="C136" s="445" t="str">
        <f>F!C225</f>
        <v>unlikely because site characteristics above are deficient, and/or this is a settled area or other area where beaver are routinely removed.  But beaver occur in this part of the region (i.e., within 25 km).</v>
      </c>
      <c r="D136" s="94">
        <f>F!D225</f>
        <v>0</v>
      </c>
      <c r="E136" s="244">
        <v>0</v>
      </c>
      <c r="F136" s="88">
        <f>D136*E136</f>
        <v>0</v>
      </c>
      <c r="G136" s="258"/>
      <c r="H136" s="1882"/>
      <c r="I136" s="1978"/>
      <c r="J136" s="138"/>
      <c r="K136" s="8"/>
      <c r="L136" s="8"/>
    </row>
    <row r="137" spans="1:12" s="34" customFormat="1" ht="184.5" customHeight="1" thickBot="1" x14ac:dyDescent="0.25">
      <c r="A137" s="1419" t="str">
        <f>F!A226</f>
        <v>F46</v>
      </c>
      <c r="B137" s="1362" t="str">
        <f>F!B226</f>
        <v>Tributary Inflow</v>
      </c>
      <c r="C137" s="1524" t="str">
        <f>F!C226</f>
        <v xml:space="preserve">At least once annually, surface water from a tributary channel that is &gt;100 m long moves into the AA.  Or, surface water from a larger permanent water body that directly adjoins the AA spills into the AA.  If false (no input), enter 0 and SKIP to F48 (Channel Connection &amp; Outflow Duration). Otherwise, enter 1 and continue. </v>
      </c>
      <c r="D137" s="484">
        <f>F!D226</f>
        <v>0</v>
      </c>
      <c r="E137" s="1257"/>
      <c r="F137" s="89"/>
      <c r="G137" s="491">
        <f>D137</f>
        <v>0</v>
      </c>
      <c r="H137" s="1360" t="s">
        <v>186</v>
      </c>
      <c r="I137" s="1362" t="s">
        <v>1359</v>
      </c>
      <c r="J137" s="138"/>
      <c r="K137" s="8"/>
      <c r="L137" s="8"/>
    </row>
    <row r="138" spans="1:12" s="34" customFormat="1" ht="21" customHeight="1" thickBot="1" x14ac:dyDescent="0.25">
      <c r="A138" s="1992" t="str">
        <f>F!A243</f>
        <v>F50</v>
      </c>
      <c r="B138" s="1867" t="str">
        <f>F!B243</f>
        <v>Groundwater: Strength of Evidence</v>
      </c>
      <c r="C138" s="352" t="str">
        <f>F!C243</f>
        <v xml:space="preserve">Select first applicable choice. </v>
      </c>
      <c r="D138" s="581"/>
      <c r="E138" s="376"/>
      <c r="F138" s="1520"/>
      <c r="G138" s="225">
        <f>IF((D141=1),"",MAX(F139:F141)/MAX(E139:E141))</f>
        <v>0</v>
      </c>
      <c r="H138" s="1910" t="s">
        <v>183</v>
      </c>
      <c r="I138" s="1867" t="s">
        <v>1212</v>
      </c>
      <c r="J138" s="138"/>
      <c r="K138" s="8"/>
      <c r="L138" s="8"/>
    </row>
    <row r="139" spans="1:12" s="34" customFormat="1" ht="53.25" customHeight="1" x14ac:dyDescent="0.2">
      <c r="A139" s="1991"/>
      <c r="B139" s="1911"/>
      <c r="C139" s="552" t="str">
        <f>F!C244</f>
        <v xml:space="preserve">Springs are known to be present within the AA, or if groundwater levels have been monitored, that has demonstrated that groundwater primarily discharges to the wetland for longer periods during the year than periods when the wetland recharges the groundwater. 
</v>
      </c>
      <c r="D139" s="180">
        <f>F!D244</f>
        <v>0</v>
      </c>
      <c r="E139" s="377">
        <v>2</v>
      </c>
      <c r="F139" s="564">
        <f>D139*E139</f>
        <v>0</v>
      </c>
      <c r="G139" s="267"/>
      <c r="H139" s="1881"/>
      <c r="I139" s="1911"/>
      <c r="J139" s="138"/>
      <c r="K139" s="8"/>
      <c r="L139" s="8"/>
    </row>
    <row r="140" spans="1:12" s="34" customFormat="1" ht="84" customHeight="1" x14ac:dyDescent="0.2">
      <c r="A140" s="1991"/>
      <c r="B140" s="1911"/>
      <c r="C140" s="576" t="str">
        <f>F!C245</f>
        <v xml:space="preserve">If surface water is present, its pH (Q44) is &gt;5.5 AND one or more of the following are true: (a) the AA is located very close to the base of (but mostly not ON) a natural slope much steeper (usually &gt;15%) than that within the AA and longer than 100 m, OR
(b) rust deposits ("iron floc"), colored precipitates, or dispersible natural oil sheen are prevalent in the AA, OR
(c) AA is located at a geologic fault.
</v>
      </c>
      <c r="D140" s="354">
        <f>F!D245</f>
        <v>0</v>
      </c>
      <c r="E140" s="377">
        <v>1</v>
      </c>
      <c r="F140" s="564">
        <f>D140*E140</f>
        <v>0</v>
      </c>
      <c r="G140" s="433"/>
      <c r="H140" s="1881"/>
      <c r="I140" s="1911"/>
      <c r="J140" s="138"/>
      <c r="K140" s="8"/>
      <c r="L140" s="8"/>
    </row>
    <row r="141" spans="1:12" s="34" customFormat="1" ht="27" customHeight="1" thickBot="1" x14ac:dyDescent="0.25">
      <c r="A141" s="1993"/>
      <c r="B141" s="1978"/>
      <c r="C141" s="445" t="str">
        <f>F!C246</f>
        <v>Neither of above is true, although some groundwater may discharge to or flow through the AA.  Or groundwater influx is unknown.</v>
      </c>
      <c r="D141" s="94">
        <f>F!D246</f>
        <v>0</v>
      </c>
      <c r="E141" s="244">
        <v>0</v>
      </c>
      <c r="F141" s="88">
        <f>D141*E141</f>
        <v>0</v>
      </c>
      <c r="G141" s="258"/>
      <c r="H141" s="1882"/>
      <c r="I141" s="1978"/>
      <c r="J141" s="138"/>
      <c r="K141" s="8"/>
      <c r="L141" s="8"/>
    </row>
    <row r="142" spans="1:12" ht="30" customHeight="1" thickBot="1" x14ac:dyDescent="0.25">
      <c r="A142" s="1992" t="str">
        <f>F!A252</f>
        <v>F52</v>
      </c>
      <c r="B142" s="1867" t="str">
        <f>F!B252</f>
        <v>Percent of Buffer with Perennial Vegetation</v>
      </c>
      <c r="C142" s="352" t="str">
        <f>F!C252</f>
        <v>Extending 30 m on all sides from the AA's edge,  the percentage that contains water or perennial vegetation taller than 10 cm during most of the growing season is:</v>
      </c>
      <c r="D142" s="1515"/>
      <c r="E142" s="376"/>
      <c r="F142" s="262"/>
      <c r="G142" s="225">
        <f>MAX(F143:F147)/MAX(E143:E147)</f>
        <v>0</v>
      </c>
      <c r="H142" s="1910" t="s">
        <v>175</v>
      </c>
      <c r="I142" s="2000" t="s">
        <v>1909</v>
      </c>
      <c r="J142" s="182"/>
      <c r="K142" s="2"/>
      <c r="L142" s="2"/>
    </row>
    <row r="143" spans="1:12" ht="15" customHeight="1" x14ac:dyDescent="0.2">
      <c r="A143" s="1991"/>
      <c r="B143" s="1911"/>
      <c r="C143" s="552" t="str">
        <f>F!C253</f>
        <v xml:space="preserve">&lt;5% </v>
      </c>
      <c r="D143" s="354">
        <f>F!D253</f>
        <v>0</v>
      </c>
      <c r="E143" s="435">
        <v>0</v>
      </c>
      <c r="F143" s="377">
        <f>D143*E143</f>
        <v>0</v>
      </c>
      <c r="G143" s="202"/>
      <c r="H143" s="1881"/>
      <c r="I143" s="1989"/>
      <c r="J143" s="182"/>
      <c r="K143" s="2"/>
      <c r="L143" s="2"/>
    </row>
    <row r="144" spans="1:12" ht="15" customHeight="1" x14ac:dyDescent="0.2">
      <c r="A144" s="1991"/>
      <c r="B144" s="1911"/>
      <c r="C144" s="576" t="str">
        <f>F!C254</f>
        <v>5 to 30%</v>
      </c>
      <c r="D144" s="354">
        <f>F!D254</f>
        <v>0</v>
      </c>
      <c r="E144" s="435">
        <v>2</v>
      </c>
      <c r="F144" s="377">
        <f>D144*E144</f>
        <v>0</v>
      </c>
      <c r="G144" s="257"/>
      <c r="H144" s="1881"/>
      <c r="I144" s="1989"/>
      <c r="J144" s="182"/>
      <c r="K144" s="2"/>
      <c r="L144" s="2"/>
    </row>
    <row r="145" spans="1:12" ht="15" customHeight="1" x14ac:dyDescent="0.2">
      <c r="A145" s="1991"/>
      <c r="B145" s="1911"/>
      <c r="C145" s="576" t="str">
        <f>F!C255</f>
        <v>30 to 60%</v>
      </c>
      <c r="D145" s="354">
        <f>F!D255</f>
        <v>0</v>
      </c>
      <c r="E145" s="435">
        <v>3</v>
      </c>
      <c r="F145" s="377">
        <f>D145*E145</f>
        <v>0</v>
      </c>
      <c r="G145" s="257"/>
      <c r="H145" s="1881"/>
      <c r="I145" s="1989"/>
      <c r="J145" s="182"/>
      <c r="K145" s="2"/>
      <c r="L145" s="2"/>
    </row>
    <row r="146" spans="1:12" ht="15" customHeight="1" x14ac:dyDescent="0.2">
      <c r="A146" s="1991"/>
      <c r="B146" s="1911"/>
      <c r="C146" s="576" t="str">
        <f>F!C256</f>
        <v>60 to 90%</v>
      </c>
      <c r="D146" s="354">
        <f>F!D256</f>
        <v>0</v>
      </c>
      <c r="E146" s="435">
        <v>4</v>
      </c>
      <c r="F146" s="377">
        <f>D146*E146</f>
        <v>0</v>
      </c>
      <c r="G146" s="257"/>
      <c r="H146" s="1881"/>
      <c r="I146" s="1989"/>
      <c r="J146" s="182"/>
      <c r="K146" s="2"/>
      <c r="L146" s="2"/>
    </row>
    <row r="147" spans="1:12" ht="18.600000000000001" customHeight="1" thickBot="1" x14ac:dyDescent="0.25">
      <c r="A147" s="1993"/>
      <c r="B147" s="1978"/>
      <c r="C147" s="445" t="str">
        <f>F!C257</f>
        <v>&gt;90%, or the AA does not adjoin any upland  SKIP to F54 (Cliffs).</v>
      </c>
      <c r="D147" s="94">
        <f>F!D257</f>
        <v>0</v>
      </c>
      <c r="E147" s="263">
        <v>6</v>
      </c>
      <c r="F147" s="244">
        <f>D147*E147</f>
        <v>0</v>
      </c>
      <c r="G147" s="258"/>
      <c r="H147" s="1882"/>
      <c r="I147" s="1990"/>
      <c r="J147" s="182"/>
      <c r="K147" s="2"/>
      <c r="L147" s="2"/>
    </row>
    <row r="148" spans="1:12" ht="30" customHeight="1" thickBot="1" x14ac:dyDescent="0.25">
      <c r="A148" s="1991" t="str">
        <f>F!A258</f>
        <v>F53</v>
      </c>
      <c r="B148" s="1911" t="str">
        <f>F!B258</f>
        <v>Type of Cover in Buffer</v>
      </c>
      <c r="C148" s="1397" t="str">
        <f>F!C258</f>
        <v>Within the 30 m zone described above, the area that is NOT perennial vegetation or water is mostly (mark ONE):</v>
      </c>
      <c r="D148" s="1519"/>
      <c r="E148" s="239"/>
      <c r="F148" s="259"/>
      <c r="G148" s="219">
        <f>IF((BuffAllNat=1),"", MAX(F149:F150)/MAX(E149:E150))</f>
        <v>0</v>
      </c>
      <c r="H148" s="1881" t="s">
        <v>176</v>
      </c>
      <c r="I148" s="2000" t="s">
        <v>1217</v>
      </c>
      <c r="J148" s="182"/>
      <c r="K148" s="2"/>
      <c r="L148" s="2"/>
    </row>
    <row r="149" spans="1:12" ht="15" customHeight="1" x14ac:dyDescent="0.2">
      <c r="A149" s="1991"/>
      <c r="B149" s="1911"/>
      <c r="C149" s="552" t="str">
        <f>F!C259</f>
        <v>impervious surface, e.g., paved road, parking lot, building, exposed rock.</v>
      </c>
      <c r="D149" s="91">
        <f>F!D259</f>
        <v>0</v>
      </c>
      <c r="E149" s="241">
        <v>0</v>
      </c>
      <c r="F149" s="241">
        <f>D149*E149</f>
        <v>0</v>
      </c>
      <c r="G149" s="202"/>
      <c r="H149" s="1881"/>
      <c r="I149" s="1989"/>
      <c r="J149" s="182"/>
      <c r="K149" s="2"/>
      <c r="L149" s="2"/>
    </row>
    <row r="150" spans="1:12" ht="27" customHeight="1" thickBot="1" x14ac:dyDescent="0.25">
      <c r="A150" s="1991"/>
      <c r="B150" s="1911"/>
      <c r="C150" s="533" t="str">
        <f>F!C260</f>
        <v>bare or nearly bare pervious surface or managed vegetation, e.g., lawn, annual crops, mostly-unvegetated clearcut, landslide, unpaved road, drill pad, dike.</v>
      </c>
      <c r="D150" s="370">
        <f>F!D260</f>
        <v>0</v>
      </c>
      <c r="E150" s="380">
        <v>1</v>
      </c>
      <c r="F150" s="380">
        <f>D150*E150</f>
        <v>0</v>
      </c>
      <c r="G150" s="433"/>
      <c r="H150" s="1881"/>
      <c r="I150" s="1990"/>
      <c r="J150" s="182"/>
      <c r="K150" s="2"/>
      <c r="L150" s="2"/>
    </row>
    <row r="151" spans="1:12" ht="60" customHeight="1" thickBot="1" x14ac:dyDescent="0.25">
      <c r="A151" s="57" t="str">
        <f>F!A261</f>
        <v>F54</v>
      </c>
      <c r="B151" s="43" t="str">
        <f>F!B261</f>
        <v xml:space="preserve">Cliffs, Steep Banks, or Salt Lick </v>
      </c>
      <c r="C151" s="562" t="str">
        <f>F!C261</f>
        <v>In the AA or within 100 m, there is a known salt lick, or elevated terrestrial features such as cliffs, talus slopes, stream banks, or excavated pits (but not riprap) that extend at least 2 m nearly vertically, are unvegetated, and potentially contain crevices or other substrate suitable for nesting or den areas.  Enter 1 (yes) or 0 (no).</v>
      </c>
      <c r="D151" s="178">
        <f>F!D261</f>
        <v>0</v>
      </c>
      <c r="E151" s="269"/>
      <c r="F151" s="269"/>
      <c r="G151" s="225">
        <f>D151</f>
        <v>0</v>
      </c>
      <c r="H151" s="332" t="s">
        <v>817</v>
      </c>
      <c r="I151" s="769" t="s">
        <v>974</v>
      </c>
      <c r="J151" s="182"/>
      <c r="K151" s="2"/>
      <c r="L151" s="2"/>
    </row>
    <row r="152" spans="1:12" ht="39" thickBot="1" x14ac:dyDescent="0.25">
      <c r="A152" s="2239" t="str">
        <f>F!A262</f>
        <v>F55</v>
      </c>
      <c r="B152" s="2068" t="str">
        <f>F!B262</f>
        <v>New or Expanded Wetland</v>
      </c>
      <c r="C152" s="1527" t="str">
        <f>F!C262</f>
        <v>Part or all of the AA resulted from human actions that persistently expanded a naturally occurring wetland or created a wetland where there previously was none (e.g., by excavation, impoundment):</v>
      </c>
      <c r="D152" s="1516"/>
      <c r="E152" s="239"/>
      <c r="F152" s="259"/>
      <c r="G152" s="219">
        <f>IF((D158=1),"",MAX(F153:F157)/MAX(E153:E157))</f>
        <v>0</v>
      </c>
      <c r="H152" s="1881" t="s">
        <v>179</v>
      </c>
      <c r="I152" s="2000" t="s">
        <v>156</v>
      </c>
      <c r="J152" s="182"/>
      <c r="K152" s="2"/>
      <c r="L152" s="2"/>
    </row>
    <row r="153" spans="1:12" ht="15" customHeight="1" x14ac:dyDescent="0.2">
      <c r="A153" s="2239"/>
      <c r="B153" s="2068"/>
      <c r="C153" s="1528" t="str">
        <f>F!C263</f>
        <v>No</v>
      </c>
      <c r="D153" s="1529">
        <f>F!D263</f>
        <v>0</v>
      </c>
      <c r="E153" s="241">
        <v>5</v>
      </c>
      <c r="F153" s="241">
        <f>D153*E153</f>
        <v>0</v>
      </c>
      <c r="G153" s="202"/>
      <c r="H153" s="1881"/>
      <c r="I153" s="1989"/>
      <c r="J153" s="182"/>
      <c r="K153" s="2"/>
      <c r="L153" s="2"/>
    </row>
    <row r="154" spans="1:12" ht="15" customHeight="1" x14ac:dyDescent="0.2">
      <c r="A154" s="2239"/>
      <c r="B154" s="2068"/>
      <c r="C154" s="1530" t="str">
        <f>F!C264</f>
        <v>yes, and created or expanded 20 - 100 years ago .</v>
      </c>
      <c r="D154" s="1531">
        <f>F!D264</f>
        <v>0</v>
      </c>
      <c r="E154" s="241">
        <v>2</v>
      </c>
      <c r="F154" s="241">
        <f>D154*E154</f>
        <v>0</v>
      </c>
      <c r="G154" s="257"/>
      <c r="H154" s="1881"/>
      <c r="I154" s="1989"/>
      <c r="J154" s="182"/>
      <c r="K154" s="2"/>
      <c r="L154" s="2"/>
    </row>
    <row r="155" spans="1:12" ht="15" customHeight="1" x14ac:dyDescent="0.2">
      <c r="A155" s="2239"/>
      <c r="B155" s="2068"/>
      <c r="C155" s="1530" t="str">
        <f>F!C265</f>
        <v>yes, and created or expanded 3-20 years ago.</v>
      </c>
      <c r="D155" s="1531">
        <f>F!D265</f>
        <v>0</v>
      </c>
      <c r="E155" s="241">
        <v>1</v>
      </c>
      <c r="F155" s="241">
        <f>D155*E155</f>
        <v>0</v>
      </c>
      <c r="G155" s="257"/>
      <c r="H155" s="1881"/>
      <c r="I155" s="1989"/>
      <c r="J155" s="182"/>
      <c r="K155" s="2"/>
      <c r="L155" s="2"/>
    </row>
    <row r="156" spans="1:12" ht="15" customHeight="1" x14ac:dyDescent="0.2">
      <c r="A156" s="2239"/>
      <c r="B156" s="2068"/>
      <c r="C156" s="1530" t="str">
        <f>F!C266</f>
        <v>yes, and created or expanded within last 3 years.</v>
      </c>
      <c r="D156" s="1531">
        <f>F!D266</f>
        <v>0</v>
      </c>
      <c r="E156" s="241">
        <v>0</v>
      </c>
      <c r="F156" s="241">
        <f>D156*E156</f>
        <v>0</v>
      </c>
      <c r="G156" s="257"/>
      <c r="H156" s="1881"/>
      <c r="I156" s="1989"/>
      <c r="J156" s="182"/>
      <c r="K156" s="2"/>
      <c r="L156" s="2"/>
    </row>
    <row r="157" spans="1:12" ht="15" customHeight="1" x14ac:dyDescent="0.2">
      <c r="A157" s="2239"/>
      <c r="B157" s="2068"/>
      <c r="C157" s="1530" t="str">
        <f>F!C267</f>
        <v>yes, but time of origin unknown.</v>
      </c>
      <c r="D157" s="1531">
        <f>F!D267</f>
        <v>0</v>
      </c>
      <c r="E157" s="241">
        <v>1</v>
      </c>
      <c r="F157" s="241">
        <f>D157*E157</f>
        <v>0</v>
      </c>
      <c r="G157" s="257"/>
      <c r="H157" s="1881"/>
      <c r="I157" s="1989"/>
      <c r="J157" s="182"/>
      <c r="K157" s="2"/>
      <c r="L157" s="2"/>
    </row>
    <row r="158" spans="1:12" ht="15" customHeight="1" thickBot="1" x14ac:dyDescent="0.25">
      <c r="A158" s="2239"/>
      <c r="B158" s="2068"/>
      <c r="C158" s="1532" t="str">
        <f>F!C268</f>
        <v>unknown if new or expanded within 20 years or not.</v>
      </c>
      <c r="D158" s="1533">
        <f>F!D268</f>
        <v>0</v>
      </c>
      <c r="E158" s="380"/>
      <c r="F158" s="380"/>
      <c r="G158" s="433"/>
      <c r="H158" s="1881"/>
      <c r="I158" s="1990"/>
      <c r="J158" s="182"/>
      <c r="K158" s="2"/>
      <c r="L158" s="2"/>
    </row>
    <row r="159" spans="1:12" ht="77.25" thickBot="1" x14ac:dyDescent="0.25">
      <c r="A159" s="1992" t="str">
        <f>F!A288</f>
        <v>F60</v>
      </c>
      <c r="B159" s="1867" t="str">
        <f>F!B288</f>
        <v xml:space="preserve">Unvisited Core Area </v>
      </c>
      <c r="C159" s="352" t="str">
        <f>F!C288</f>
        <v>The percentage of the AA almost never visited by humans during an average growing season probably comprises: [Note: Only include the part actually walked or driven (not simply viewed from) with a vehicle or boat. Do not include visitors on trails outside of the AA unless more than half the wetland is visible from the trails and they are within 30 m of the wetland edge. In that case include only the area occupied by the trail]</v>
      </c>
      <c r="D159" s="1515"/>
      <c r="E159" s="376"/>
      <c r="F159" s="262"/>
      <c r="G159" s="225">
        <f>MAX(F160:F165)/MAX(E160:E165)</f>
        <v>0</v>
      </c>
      <c r="H159" s="1910" t="s">
        <v>177</v>
      </c>
      <c r="I159" s="2000" t="s">
        <v>975</v>
      </c>
      <c r="J159" s="182"/>
      <c r="K159" s="2"/>
      <c r="L159" s="2"/>
    </row>
    <row r="160" spans="1:12" ht="15" customHeight="1" x14ac:dyDescent="0.2">
      <c r="A160" s="1991"/>
      <c r="B160" s="1911"/>
      <c r="C160" s="552" t="str">
        <f>F!C289</f>
        <v>&lt;5% and no inhabited building is within 100 m of the AA.</v>
      </c>
      <c r="D160" s="359">
        <f>F!D289</f>
        <v>0</v>
      </c>
      <c r="E160" s="369">
        <v>1</v>
      </c>
      <c r="F160" s="377">
        <f t="shared" ref="F160:F165" si="6">D160*E160</f>
        <v>0</v>
      </c>
      <c r="G160" s="202"/>
      <c r="H160" s="1881"/>
      <c r="I160" s="1989"/>
      <c r="J160" s="182"/>
      <c r="K160" s="2"/>
      <c r="L160" s="2"/>
    </row>
    <row r="161" spans="1:12" ht="15" customHeight="1" x14ac:dyDescent="0.2">
      <c r="A161" s="1991"/>
      <c r="B161" s="1911"/>
      <c r="C161" s="576" t="str">
        <f>F!C290</f>
        <v>&lt;5% and inhabited building is within 100 m of the AA.</v>
      </c>
      <c r="D161" s="359">
        <f>F!D290</f>
        <v>0</v>
      </c>
      <c r="E161" s="369">
        <v>0</v>
      </c>
      <c r="F161" s="377">
        <f t="shared" si="6"/>
        <v>0</v>
      </c>
      <c r="G161" s="257"/>
      <c r="H161" s="1881"/>
      <c r="I161" s="1989"/>
      <c r="J161" s="182"/>
      <c r="K161" s="2"/>
      <c r="L161" s="2"/>
    </row>
    <row r="162" spans="1:12" ht="15" customHeight="1" x14ac:dyDescent="0.2">
      <c r="A162" s="1991"/>
      <c r="B162" s="1911"/>
      <c r="C162" s="576" t="str">
        <f>F!C291</f>
        <v>5-50% and no inhabited building is within 100 m of the AA.</v>
      </c>
      <c r="D162" s="359">
        <f>F!D291</f>
        <v>0</v>
      </c>
      <c r="E162" s="369">
        <v>3</v>
      </c>
      <c r="F162" s="377">
        <f t="shared" si="6"/>
        <v>0</v>
      </c>
      <c r="G162" s="257"/>
      <c r="H162" s="1881"/>
      <c r="I162" s="1989"/>
      <c r="J162" s="182"/>
      <c r="K162" s="2"/>
      <c r="L162" s="2"/>
    </row>
    <row r="163" spans="1:12" ht="15" customHeight="1" x14ac:dyDescent="0.2">
      <c r="A163" s="1991"/>
      <c r="B163" s="1911"/>
      <c r="C163" s="576" t="str">
        <f>F!C292</f>
        <v>5-50% and inhabited building is within 100 m of the AA.</v>
      </c>
      <c r="D163" s="359">
        <f>F!D292</f>
        <v>0</v>
      </c>
      <c r="E163" s="369">
        <v>2</v>
      </c>
      <c r="F163" s="377">
        <f t="shared" si="6"/>
        <v>0</v>
      </c>
      <c r="G163" s="433"/>
      <c r="H163" s="1881"/>
      <c r="I163" s="1989"/>
      <c r="J163" s="182"/>
      <c r="K163" s="2"/>
      <c r="L163" s="2"/>
    </row>
    <row r="164" spans="1:12" ht="15" customHeight="1" x14ac:dyDescent="0.2">
      <c r="A164" s="1991"/>
      <c r="B164" s="1911"/>
      <c r="C164" s="576" t="str">
        <f>F!C293</f>
        <v>50-95%, with or without inhabited building nearby.</v>
      </c>
      <c r="D164" s="359">
        <f>F!D293</f>
        <v>0</v>
      </c>
      <c r="E164" s="369">
        <v>4</v>
      </c>
      <c r="F164" s="377">
        <f t="shared" si="6"/>
        <v>0</v>
      </c>
      <c r="G164" s="433"/>
      <c r="H164" s="1881"/>
      <c r="I164" s="1989"/>
      <c r="J164" s="182"/>
      <c r="K164" s="2"/>
      <c r="L164" s="2"/>
    </row>
    <row r="165" spans="1:12" ht="15" customHeight="1" thickBot="1" x14ac:dyDescent="0.25">
      <c r="A165" s="1993"/>
      <c r="B165" s="1978"/>
      <c r="C165" s="445" t="str">
        <f>F!C294</f>
        <v>&gt;95% of the AA with or without inhabited building nearby.</v>
      </c>
      <c r="D165" s="94">
        <f>F!D294</f>
        <v>0</v>
      </c>
      <c r="E165" s="205">
        <v>5</v>
      </c>
      <c r="F165" s="244">
        <f t="shared" si="6"/>
        <v>0</v>
      </c>
      <c r="G165" s="258"/>
      <c r="H165" s="1882"/>
      <c r="I165" s="1990"/>
      <c r="J165" s="182"/>
      <c r="K165" s="2"/>
      <c r="L165" s="2"/>
    </row>
    <row r="166" spans="1:12" ht="75" customHeight="1" thickBot="1" x14ac:dyDescent="0.25">
      <c r="A166" s="2075" t="str">
        <f>F!A295</f>
        <v>F61</v>
      </c>
      <c r="B166" s="1911" t="str">
        <f>F!B295</f>
        <v>Frequently Visited Area</v>
      </c>
      <c r="C166" s="1397" t="str">
        <f>F!C295</f>
        <v>The percentage of the AA visited by humans almost daily for several weeks during an average growing season probably comprises: [Note: Do not include visitors on trails outside of the AA unless more than half the wetland is visible from the trails and they are within 30 m of the wetland edge.  In that case, imagine the percentage of the AA that would be covered by the trail if it were placed within the AA.]</v>
      </c>
      <c r="D166" s="1519"/>
      <c r="E166" s="206"/>
      <c r="F166" s="259"/>
      <c r="G166" s="219">
        <f>MAX(F167:F170)/MAX(E167:E170)</f>
        <v>0</v>
      </c>
      <c r="H166" s="1881" t="s">
        <v>178</v>
      </c>
      <c r="I166" s="2000" t="s">
        <v>75</v>
      </c>
      <c r="J166" s="182"/>
      <c r="K166" s="2"/>
      <c r="L166" s="2"/>
    </row>
    <row r="167" spans="1:12" ht="15" customHeight="1" x14ac:dyDescent="0.2">
      <c r="A167" s="2075"/>
      <c r="B167" s="1911"/>
      <c r="C167" s="552" t="str">
        <f>F!C296</f>
        <v>&lt;5%.  If F62 was answered "&gt;95%", SKIP to F64 (Consumptive Uses).</v>
      </c>
      <c r="D167" s="180">
        <f>F!D296</f>
        <v>0</v>
      </c>
      <c r="E167" s="204">
        <v>3</v>
      </c>
      <c r="F167" s="241">
        <f>D167*E167</f>
        <v>0</v>
      </c>
      <c r="G167" s="202"/>
      <c r="H167" s="1881"/>
      <c r="I167" s="1989"/>
      <c r="J167" s="182"/>
      <c r="K167" s="2"/>
      <c r="L167" s="2"/>
    </row>
    <row r="168" spans="1:12" ht="15" customHeight="1" x14ac:dyDescent="0.2">
      <c r="A168" s="2075"/>
      <c r="B168" s="1911"/>
      <c r="C168" s="576" t="str">
        <f>F!C297</f>
        <v>5-50%</v>
      </c>
      <c r="D168" s="40">
        <f>F!D297</f>
        <v>0</v>
      </c>
      <c r="E168" s="204">
        <v>2</v>
      </c>
      <c r="F168" s="241">
        <f>D168*E168</f>
        <v>0</v>
      </c>
      <c r="G168" s="257"/>
      <c r="H168" s="1881"/>
      <c r="I168" s="1989"/>
      <c r="J168" s="182"/>
      <c r="K168" s="2"/>
      <c r="L168" s="2"/>
    </row>
    <row r="169" spans="1:12" ht="15" customHeight="1" x14ac:dyDescent="0.2">
      <c r="A169" s="2075"/>
      <c r="B169" s="1911"/>
      <c r="C169" s="576" t="str">
        <f>F!C298</f>
        <v>50-95%</v>
      </c>
      <c r="D169" s="40">
        <f>F!D298</f>
        <v>0</v>
      </c>
      <c r="E169" s="204">
        <v>1</v>
      </c>
      <c r="F169" s="241">
        <f>D169*E169</f>
        <v>0</v>
      </c>
      <c r="G169" s="257"/>
      <c r="H169" s="1881"/>
      <c r="I169" s="1989"/>
      <c r="J169" s="182"/>
      <c r="K169" s="2"/>
      <c r="L169" s="2"/>
    </row>
    <row r="170" spans="1:12" ht="15" customHeight="1" thickBot="1" x14ac:dyDescent="0.25">
      <c r="A170" s="2075"/>
      <c r="B170" s="1911"/>
      <c r="C170" s="533" t="str">
        <f>F!C299</f>
        <v>&gt;95% of the AA.</v>
      </c>
      <c r="D170" s="22">
        <f>F!D299</f>
        <v>0</v>
      </c>
      <c r="E170" s="207">
        <v>0</v>
      </c>
      <c r="F170" s="242">
        <f>D170*E170</f>
        <v>0</v>
      </c>
      <c r="G170" s="433"/>
      <c r="H170" s="1881"/>
      <c r="I170" s="1990"/>
      <c r="J170" s="182"/>
      <c r="K170" s="2"/>
      <c r="L170" s="2"/>
    </row>
    <row r="171" spans="1:12" ht="75" customHeight="1" thickBot="1" x14ac:dyDescent="0.25">
      <c r="A171" s="1387" t="str">
        <f>F!A300</f>
        <v>F62</v>
      </c>
      <c r="B171" s="1368" t="str">
        <f>F!B300</f>
        <v>BMP - Soils</v>
      </c>
      <c r="C171" s="1534" t="str">
        <f>F!C300</f>
        <v>Boardwalks, paved trails, fences or other infrastructure and/or well-enforced regulations appear to effectively prevent visitors from walking on soils within nearly all of the AA when they are unfrozen.  Enter "1" if true.</v>
      </c>
      <c r="D171" s="1535">
        <f>F!D300</f>
        <v>0</v>
      </c>
      <c r="E171" s="594"/>
      <c r="F171" s="256"/>
      <c r="G171" s="1536">
        <f>IF((D165+D167&gt;1),"",D171)</f>
        <v>0</v>
      </c>
      <c r="H171" s="1359" t="s">
        <v>492</v>
      </c>
      <c r="I171" s="1368" t="s">
        <v>2415</v>
      </c>
      <c r="J171" s="182"/>
      <c r="K171" s="2"/>
      <c r="L171" s="2"/>
    </row>
    <row r="172" spans="1:12" ht="75" customHeight="1" thickBot="1" x14ac:dyDescent="0.25">
      <c r="A172" s="1867" t="str">
        <f>F!A324</f>
        <v>F68</v>
      </c>
      <c r="B172" s="1867" t="str">
        <f>F!B324</f>
        <v>Plants or Animals of Conservation Concern</v>
      </c>
      <c r="C172" s="794" t="str">
        <f>F!C324</f>
        <v xml:space="preserve">If required, survey the AA for plant or animal species at risk in Alberta (see list in RarePlants or RareAnimals worksheet tabs), especially if the data review conducted during the office phase of this assessment indicated their past presence in the general vicinity. Do so at appropriate times of the year. If you do detect these species or have reliable knowledge of their recent (within ~5 years) occurrence within the AA, indicate that below.  </v>
      </c>
      <c r="D172" s="255"/>
      <c r="E172" s="368"/>
      <c r="F172" s="262"/>
      <c r="G172" s="911" t="str">
        <f>IF((D173=0),"", 1)</f>
        <v/>
      </c>
      <c r="H172" s="1910" t="s">
        <v>2011</v>
      </c>
      <c r="I172" s="1867" t="s">
        <v>2031</v>
      </c>
      <c r="J172" s="578"/>
      <c r="K172" s="2"/>
      <c r="L172" s="2"/>
    </row>
    <row r="173" spans="1:12" ht="15" customHeight="1" thickBot="1" x14ac:dyDescent="0.25">
      <c r="A173" s="1978"/>
      <c r="B173" s="1978"/>
      <c r="C173" s="1088" t="str">
        <f>F!C325</f>
        <v>One or more of the rare plant species was detected within the AA.</v>
      </c>
      <c r="D173" s="94">
        <f>F!D325</f>
        <v>0</v>
      </c>
      <c r="E173" s="1089"/>
      <c r="F173" s="787"/>
      <c r="G173" s="787"/>
      <c r="H173" s="1882"/>
      <c r="I173" s="1978"/>
      <c r="J173" s="578"/>
      <c r="K173" s="2"/>
      <c r="L173" s="2"/>
    </row>
    <row r="174" spans="1:12" s="34" customFormat="1" ht="210" customHeight="1" thickBot="1" x14ac:dyDescent="0.25">
      <c r="A174" s="1420" t="str">
        <f>S!A3</f>
        <v>S1</v>
      </c>
      <c r="B174" s="1372" t="str">
        <f>S!B3</f>
        <v>Aberrant Hydrologic Regime</v>
      </c>
      <c r="C174" s="1537" t="str">
        <f>S!E24</f>
        <v>Stressor Subscore=</v>
      </c>
      <c r="D174" s="1538">
        <f>S!F24</f>
        <v>0</v>
      </c>
      <c r="E174" s="276"/>
      <c r="F174" s="1539"/>
      <c r="G174" s="219">
        <f>1-D174</f>
        <v>1</v>
      </c>
      <c r="H174" s="1361" t="s">
        <v>180</v>
      </c>
      <c r="I174" s="1376" t="s">
        <v>2416</v>
      </c>
      <c r="J174" s="138"/>
      <c r="K174" s="8"/>
      <c r="L174" s="8"/>
    </row>
    <row r="175" spans="1:12" s="35" customFormat="1" ht="45" customHeight="1" thickBot="1" x14ac:dyDescent="0.25">
      <c r="A175" s="1540" t="str">
        <f>S!A25</f>
        <v>S2</v>
      </c>
      <c r="B175" s="43" t="str">
        <f>S!B25</f>
        <v>Accelerated Inputs of Contaminants and/or Salts</v>
      </c>
      <c r="C175" s="555"/>
      <c r="D175" s="1541">
        <f>S!F39</f>
        <v>0</v>
      </c>
      <c r="E175" s="269"/>
      <c r="F175" s="198"/>
      <c r="G175" s="1542">
        <f>1-D175</f>
        <v>1</v>
      </c>
      <c r="H175" s="43" t="s">
        <v>820</v>
      </c>
      <c r="I175" s="769" t="s">
        <v>1910</v>
      </c>
      <c r="J175" s="183"/>
      <c r="K175" s="5"/>
      <c r="L175" s="5"/>
    </row>
    <row r="176" spans="1:12" ht="60" customHeight="1" thickBot="1" x14ac:dyDescent="0.25">
      <c r="A176" s="57" t="str">
        <f>S!A71</f>
        <v>S5</v>
      </c>
      <c r="B176" s="43" t="str">
        <f>S!B71</f>
        <v>Soil or Sediment Alteration Within the Assessment Area</v>
      </c>
      <c r="C176" s="562" t="str">
        <f>S!E88</f>
        <v>Stressor Subscore=</v>
      </c>
      <c r="D176" s="1543">
        <f>S!F88</f>
        <v>0</v>
      </c>
      <c r="E176" s="269"/>
      <c r="F176" s="270"/>
      <c r="G176" s="225">
        <f>1-D176</f>
        <v>1</v>
      </c>
      <c r="H176" s="332" t="s">
        <v>181</v>
      </c>
      <c r="I176" s="769" t="s">
        <v>976</v>
      </c>
      <c r="J176" s="182"/>
      <c r="K176" s="2"/>
      <c r="L176" s="2"/>
    </row>
    <row r="177" spans="1:11" ht="21" customHeight="1" thickBot="1" x14ac:dyDescent="0.25">
      <c r="A177" s="1544"/>
      <c r="B177" s="1544"/>
      <c r="D177" s="827"/>
      <c r="E177" s="827"/>
      <c r="F177" s="827"/>
      <c r="G177" s="827"/>
      <c r="H177" s="827" t="s">
        <v>406</v>
      </c>
      <c r="I177" s="827"/>
    </row>
    <row r="178" spans="1:11" s="36" customFormat="1" ht="21" customHeight="1" thickBot="1" x14ac:dyDescent="0.25">
      <c r="A178" s="1545"/>
      <c r="B178" s="1546"/>
      <c r="C178" s="391" t="s">
        <v>766</v>
      </c>
      <c r="D178" s="1027"/>
      <c r="E178" s="1027"/>
      <c r="F178" s="1027"/>
      <c r="G178" s="1027"/>
      <c r="H178" s="5"/>
      <c r="I178" s="5"/>
      <c r="J178" s="133"/>
    </row>
    <row r="179" spans="1:11" s="36" customFormat="1" ht="30" customHeight="1" thickBot="1" x14ac:dyDescent="0.25">
      <c r="A179" s="10"/>
      <c r="B179" s="1406"/>
      <c r="C179" s="554" t="s">
        <v>2275</v>
      </c>
      <c r="D179" s="293"/>
      <c r="E179" s="293"/>
      <c r="F179" s="293"/>
      <c r="G179" s="285">
        <f>AVERAGE(InterspersPD, WoodyCovPD,HerbWood15, ClassRichIn15, wood2pd, herbdom15, dbhPD, sedgePD, forbsPD)</f>
        <v>0</v>
      </c>
      <c r="H179" s="5"/>
      <c r="I179" s="5"/>
      <c r="J179" s="140"/>
      <c r="K179" s="37"/>
    </row>
    <row r="180" spans="1:11" s="36" customFormat="1" ht="21" customHeight="1" thickBot="1" x14ac:dyDescent="0.25">
      <c r="A180" s="1246"/>
      <c r="B180" s="10"/>
      <c r="C180" s="25"/>
      <c r="D180" s="827"/>
      <c r="E180" s="827"/>
      <c r="F180" s="827"/>
      <c r="G180" s="827"/>
      <c r="H180" s="5"/>
      <c r="I180" s="5"/>
      <c r="J180" s="132"/>
      <c r="K180" s="37"/>
    </row>
    <row r="181" spans="1:11" s="36" customFormat="1" ht="21" customHeight="1" thickBot="1" x14ac:dyDescent="0.25">
      <c r="A181" s="1246"/>
      <c r="B181" s="1246"/>
      <c r="C181" s="391" t="s">
        <v>767</v>
      </c>
      <c r="D181" s="1027"/>
      <c r="E181" s="1027"/>
      <c r="F181" s="1027"/>
      <c r="G181" s="1027"/>
      <c r="H181" s="5"/>
      <c r="I181" s="5"/>
      <c r="J181" s="132"/>
      <c r="K181" s="37"/>
    </row>
    <row r="182" spans="1:11" s="36" customFormat="1" ht="30" customHeight="1" thickBot="1" x14ac:dyDescent="0.25">
      <c r="A182" s="1350"/>
      <c r="B182" s="136"/>
      <c r="C182" s="541" t="s">
        <v>2445</v>
      </c>
      <c r="D182" s="1086"/>
      <c r="E182" s="1547"/>
      <c r="F182" s="507"/>
      <c r="G182" s="285">
        <f>AVERAGE(GrowDD, RipFloodpl,  InfloPD, SoilTexPD, GWpd,BeaverPD, NfixPD, NewWetPD, FlucPD, Depth15)</f>
        <v>0</v>
      </c>
      <c r="H182" s="5"/>
      <c r="I182" s="5"/>
      <c r="J182" s="132"/>
      <c r="K182" s="37"/>
    </row>
    <row r="183" spans="1:11" s="36" customFormat="1" ht="21" customHeight="1" thickBot="1" x14ac:dyDescent="0.25">
      <c r="A183" s="1246"/>
      <c r="B183" s="1246"/>
      <c r="C183" s="25"/>
      <c r="D183" s="827"/>
      <c r="E183" s="827"/>
      <c r="F183" s="827"/>
      <c r="G183" s="827"/>
      <c r="H183" s="5"/>
      <c r="I183" s="5"/>
      <c r="J183" s="132"/>
      <c r="K183" s="37"/>
    </row>
    <row r="184" spans="1:11" s="36" customFormat="1" ht="21" customHeight="1" thickBot="1" x14ac:dyDescent="0.25">
      <c r="A184" s="1246"/>
      <c r="B184" s="1246"/>
      <c r="C184" s="391" t="s">
        <v>769</v>
      </c>
      <c r="D184" s="1027"/>
      <c r="E184" s="1027"/>
      <c r="F184" s="1027"/>
      <c r="G184" s="1027"/>
      <c r="H184" s="5"/>
      <c r="I184" s="5"/>
      <c r="J184" s="132"/>
      <c r="K184" s="37"/>
    </row>
    <row r="185" spans="1:11" s="36" customFormat="1" ht="39" thickBot="1" x14ac:dyDescent="0.25">
      <c r="A185" s="1350"/>
      <c r="B185" s="1350"/>
      <c r="C185" s="554" t="s">
        <v>2446</v>
      </c>
      <c r="D185" s="1493"/>
      <c r="E185" s="1493"/>
      <c r="F185" s="293"/>
      <c r="G185" s="285">
        <f>IF((AllSat1&gt;0),"",IF((SmallAA=1),"",(AVERAGE(WetVegArea, WidthPD,PondedOWpctPD,PersisPD)+AVERAGE(DownWood15,Snags15,GirregPD,Rock15))/2))</f>
        <v>0</v>
      </c>
      <c r="H185" s="5"/>
      <c r="I185" s="1350"/>
      <c r="J185" s="132"/>
      <c r="K185" s="37"/>
    </row>
    <row r="186" spans="1:11" s="36" customFormat="1" ht="21" customHeight="1" thickBot="1" x14ac:dyDescent="0.25">
      <c r="A186" s="1246"/>
      <c r="B186" s="1246"/>
      <c r="C186" s="25"/>
      <c r="D186" s="827"/>
      <c r="E186" s="827"/>
      <c r="F186" s="827"/>
      <c r="G186" s="827"/>
      <c r="H186" s="5"/>
      <c r="I186" s="5"/>
      <c r="J186" s="132"/>
      <c r="K186" s="37"/>
    </row>
    <row r="187" spans="1:11" s="36" customFormat="1" ht="21" customHeight="1" thickBot="1" x14ac:dyDescent="0.25">
      <c r="A187" s="1246"/>
      <c r="B187" s="1246"/>
      <c r="C187" s="391" t="s">
        <v>768</v>
      </c>
      <c r="D187" s="1027"/>
      <c r="E187" s="1027"/>
      <c r="F187" s="1027"/>
      <c r="G187" s="1027"/>
      <c r="H187" s="5"/>
      <c r="I187" s="5"/>
      <c r="J187" s="139"/>
      <c r="K187" s="37"/>
    </row>
    <row r="188" spans="1:11" s="36" customFormat="1" ht="21" customHeight="1" thickBot="1" x14ac:dyDescent="0.25">
      <c r="A188" s="1350"/>
      <c r="B188" s="136"/>
      <c r="C188" s="541" t="s">
        <v>2447</v>
      </c>
      <c r="D188" s="1086"/>
      <c r="E188" s="507"/>
      <c r="F188" s="507"/>
      <c r="G188" s="285">
        <f>AVERAGE(NatCov1k, WetDens1k, ClassRich1k,  BuffLUpd, NatVegCApd)</f>
        <v>0</v>
      </c>
      <c r="H188" s="5"/>
      <c r="I188" s="5"/>
      <c r="J188" s="139"/>
      <c r="K188" s="37"/>
    </row>
    <row r="189" spans="1:11" s="38" customFormat="1" ht="21" customHeight="1" thickBot="1" x14ac:dyDescent="0.25">
      <c r="A189" s="1548"/>
      <c r="B189" s="1548"/>
      <c r="C189" s="135"/>
      <c r="D189" s="617"/>
      <c r="E189" s="617"/>
      <c r="F189" s="617"/>
      <c r="G189" s="617"/>
      <c r="H189" s="5"/>
      <c r="I189" s="5"/>
      <c r="J189" s="139"/>
      <c r="K189" s="37"/>
    </row>
    <row r="190" spans="1:11" s="36" customFormat="1" ht="21" customHeight="1" thickBot="1" x14ac:dyDescent="0.25">
      <c r="A190" s="1548"/>
      <c r="B190" s="1548"/>
      <c r="C190" s="391" t="s">
        <v>838</v>
      </c>
      <c r="D190" s="618"/>
      <c r="E190" s="618"/>
      <c r="F190" s="618"/>
      <c r="G190" s="618"/>
      <c r="H190" s="5"/>
      <c r="I190" s="5"/>
      <c r="J190" s="132"/>
      <c r="K190" s="37"/>
    </row>
    <row r="191" spans="1:11" s="36" customFormat="1" ht="30" customHeight="1" thickBot="1" x14ac:dyDescent="0.25">
      <c r="A191" s="1350"/>
      <c r="B191" s="136"/>
      <c r="C191" s="541" t="s">
        <v>2448</v>
      </c>
      <c r="D191" s="1086"/>
      <c r="E191" s="507"/>
      <c r="F191" s="507"/>
      <c r="G191" s="285">
        <f>(Invasives + AVERAGE(Dist2DevCrop, 1-RdDens1k, Dist2Road, DistPop, Core1pd, Core2pd, BMPsoils20, WeedSourcePD, AltTime20, SedDisturb20)) / 2</f>
        <v>0.21428571428571427</v>
      </c>
      <c r="H191" s="5"/>
      <c r="I191" s="5"/>
      <c r="J191" s="132"/>
      <c r="K191" s="37"/>
    </row>
    <row r="192" spans="1:11" s="36" customFormat="1" ht="21" customHeight="1" thickBot="1" x14ac:dyDescent="0.25">
      <c r="A192" s="1246"/>
      <c r="B192" s="1246"/>
      <c r="C192" s="25"/>
      <c r="D192" s="827"/>
      <c r="E192" s="827"/>
      <c r="F192" s="827"/>
      <c r="G192" s="827"/>
      <c r="H192" s="5"/>
      <c r="I192" s="5"/>
      <c r="J192" s="132"/>
      <c r="K192" s="37"/>
    </row>
    <row r="193" spans="1:17" s="36" customFormat="1" ht="21" customHeight="1" thickBot="1" x14ac:dyDescent="0.25">
      <c r="A193" s="1246"/>
      <c r="B193" s="1246"/>
      <c r="C193" s="639" t="s">
        <v>846</v>
      </c>
      <c r="D193" s="5"/>
      <c r="E193" s="5"/>
      <c r="F193" s="5"/>
      <c r="G193" s="5"/>
      <c r="H193" s="5"/>
      <c r="I193" s="5"/>
      <c r="J193" s="132"/>
      <c r="K193" s="37"/>
    </row>
    <row r="194" spans="1:17" s="36" customFormat="1" ht="21" customHeight="1" thickBot="1" x14ac:dyDescent="0.25">
      <c r="A194" s="1246"/>
      <c r="B194" s="1246"/>
      <c r="C194" s="417" t="s">
        <v>1248</v>
      </c>
      <c r="D194" s="1027"/>
      <c r="E194" s="1027"/>
      <c r="F194" s="1027"/>
      <c r="G194" s="1027"/>
      <c r="H194" s="5"/>
      <c r="I194" s="5"/>
      <c r="J194" s="132"/>
      <c r="K194" s="37"/>
    </row>
    <row r="195" spans="1:17" s="36" customFormat="1" ht="30" customHeight="1" thickBot="1" x14ac:dyDescent="0.25">
      <c r="A195" s="1246"/>
      <c r="B195" s="1246"/>
      <c r="C195" s="78" t="s">
        <v>2417</v>
      </c>
      <c r="D195" s="507"/>
      <c r="E195" s="507"/>
      <c r="F195" s="507"/>
      <c r="G195" s="582">
        <f>IF((RarePlant2=1),10, 10*AVERAGE(UniqClass, Vstruc1a, Vspace1a, CfixV1a, Vscape1a, StressV1a))</f>
        <v>0.4285714285714286</v>
      </c>
      <c r="H195" s="5"/>
      <c r="I195" s="5"/>
      <c r="J195" s="132"/>
      <c r="K195" s="37"/>
    </row>
    <row r="196" spans="1:17" s="38" customFormat="1" ht="21" customHeight="1" thickBot="1" x14ac:dyDescent="0.25">
      <c r="A196" s="1246"/>
      <c r="B196" s="1246"/>
      <c r="C196" s="394"/>
      <c r="D196" s="394"/>
      <c r="E196" s="1262"/>
      <c r="F196" s="1262"/>
      <c r="G196" s="1262"/>
      <c r="H196" s="1549"/>
      <c r="I196" s="849" t="s">
        <v>293</v>
      </c>
      <c r="J196" s="132"/>
      <c r="K196" s="37"/>
    </row>
    <row r="197" spans="1:17" s="38" customFormat="1" ht="38.25" x14ac:dyDescent="0.2">
      <c r="A197" s="1550"/>
      <c r="B197" s="1550"/>
      <c r="C197" s="1496"/>
      <c r="D197" s="1469"/>
      <c r="E197" s="1262"/>
      <c r="F197" s="1262"/>
      <c r="G197" s="1262"/>
      <c r="H197" s="1549"/>
      <c r="I197" s="1377" t="s">
        <v>407</v>
      </c>
      <c r="J197" s="132"/>
      <c r="K197" s="37"/>
    </row>
    <row r="198" spans="1:17" s="115" customFormat="1" ht="38.25" x14ac:dyDescent="0.2">
      <c r="A198" s="1551"/>
      <c r="B198" s="1466"/>
      <c r="C198" s="1498"/>
      <c r="D198" s="1468"/>
      <c r="E198" s="1262"/>
      <c r="F198" s="1262"/>
      <c r="G198" s="1262"/>
      <c r="H198" s="1549"/>
      <c r="I198" s="1407" t="s">
        <v>324</v>
      </c>
      <c r="J198" s="140"/>
      <c r="K198" s="119"/>
    </row>
    <row r="199" spans="1:17" s="115" customFormat="1" ht="38.25" x14ac:dyDescent="0.2">
      <c r="A199" s="1551"/>
      <c r="B199" s="1552"/>
      <c r="C199" s="1498"/>
      <c r="D199" s="1468"/>
      <c r="E199" s="1262"/>
      <c r="F199" s="1262"/>
      <c r="G199" s="1262"/>
      <c r="H199" s="1549"/>
      <c r="I199" s="1407" t="s">
        <v>1250</v>
      </c>
      <c r="J199" s="140"/>
      <c r="K199" s="119"/>
    </row>
    <row r="200" spans="1:17" s="115" customFormat="1" ht="38.25" x14ac:dyDescent="0.2">
      <c r="A200" s="1551"/>
      <c r="B200" s="1552"/>
      <c r="C200" s="1498"/>
      <c r="D200" s="1468"/>
      <c r="E200" s="1262"/>
      <c r="F200" s="1262"/>
      <c r="G200" s="1262"/>
      <c r="H200" s="1549"/>
      <c r="I200" s="1407" t="s">
        <v>408</v>
      </c>
      <c r="J200" s="140"/>
      <c r="K200" s="119"/>
    </row>
    <row r="201" spans="1:17" s="115" customFormat="1" ht="38.25" x14ac:dyDescent="0.2">
      <c r="A201" s="1551"/>
      <c r="B201" s="1552"/>
      <c r="C201" s="1498"/>
      <c r="D201" s="1468"/>
      <c r="E201" s="1262"/>
      <c r="F201" s="1262"/>
      <c r="G201" s="1262"/>
      <c r="H201" s="1549"/>
      <c r="I201" s="1407" t="s">
        <v>409</v>
      </c>
      <c r="J201" s="140"/>
      <c r="K201" s="119"/>
    </row>
    <row r="202" spans="1:17" s="115" customFormat="1" ht="38.25" x14ac:dyDescent="0.2">
      <c r="A202" s="1551"/>
      <c r="B202" s="1552"/>
      <c r="C202" s="1498"/>
      <c r="D202" s="1468"/>
      <c r="E202" s="1262"/>
      <c r="F202" s="1262"/>
      <c r="G202" s="1262"/>
      <c r="H202" s="1549"/>
      <c r="I202" s="1404" t="s">
        <v>410</v>
      </c>
      <c r="J202" s="140"/>
      <c r="K202" s="119"/>
    </row>
    <row r="203" spans="1:17" s="38" customFormat="1" ht="25.5" x14ac:dyDescent="0.2">
      <c r="A203" s="1551"/>
      <c r="B203" s="1552"/>
      <c r="C203" s="1498"/>
      <c r="D203" s="1469"/>
      <c r="E203" s="1262"/>
      <c r="F203" s="1262"/>
      <c r="G203" s="1262"/>
      <c r="H203" s="1549"/>
      <c r="I203" s="1404" t="s">
        <v>537</v>
      </c>
      <c r="J203" s="132"/>
      <c r="K203" s="37"/>
    </row>
    <row r="204" spans="1:17" s="3" customFormat="1" ht="38.25" x14ac:dyDescent="0.2">
      <c r="A204" s="1551"/>
      <c r="B204" s="1553"/>
      <c r="C204" s="412"/>
      <c r="D204" s="1554"/>
      <c r="E204" s="1262"/>
      <c r="F204" s="1262"/>
      <c r="G204" s="1262"/>
      <c r="H204" s="1549"/>
      <c r="I204" s="1404" t="s">
        <v>1222</v>
      </c>
      <c r="J204" s="139"/>
      <c r="K204" s="80"/>
      <c r="L204" s="110"/>
      <c r="M204" s="110"/>
      <c r="N204" s="110"/>
      <c r="O204" s="110"/>
      <c r="P204" s="110"/>
      <c r="Q204" s="110"/>
    </row>
    <row r="205" spans="1:17" s="3" customFormat="1" ht="38.25" x14ac:dyDescent="0.2">
      <c r="A205" s="1551"/>
      <c r="B205" s="1553"/>
      <c r="C205" s="1496"/>
      <c r="D205" s="1554"/>
      <c r="E205" s="1262"/>
      <c r="F205" s="1262"/>
      <c r="G205" s="1262"/>
      <c r="H205" s="1549"/>
      <c r="I205" s="1407" t="s">
        <v>411</v>
      </c>
      <c r="J205" s="139"/>
      <c r="K205" s="80"/>
      <c r="L205" s="110"/>
      <c r="M205" s="110"/>
      <c r="N205" s="110"/>
      <c r="O205" s="110"/>
      <c r="P205" s="110"/>
      <c r="Q205" s="110"/>
    </row>
    <row r="206" spans="1:17" s="3" customFormat="1" ht="38.25" x14ac:dyDescent="0.2">
      <c r="A206" s="1551"/>
      <c r="B206" s="1466"/>
      <c r="C206" s="1498"/>
      <c r="D206" s="1554"/>
      <c r="E206" s="1262"/>
      <c r="F206" s="1262"/>
      <c r="G206" s="1262"/>
      <c r="H206" s="1549"/>
      <c r="I206" s="1407" t="s">
        <v>294</v>
      </c>
      <c r="J206" s="139"/>
      <c r="K206" s="80"/>
      <c r="L206" s="110"/>
      <c r="M206" s="110"/>
      <c r="N206" s="110"/>
      <c r="O206" s="110"/>
      <c r="P206" s="110"/>
      <c r="Q206" s="110"/>
    </row>
    <row r="207" spans="1:17" s="3" customFormat="1" ht="38.25" x14ac:dyDescent="0.2">
      <c r="A207" s="1551"/>
      <c r="B207" s="1466"/>
      <c r="C207" s="1498"/>
      <c r="D207" s="1554"/>
      <c r="E207" s="1262"/>
      <c r="F207" s="1262"/>
      <c r="G207" s="1262"/>
      <c r="H207" s="1549"/>
      <c r="I207" s="1407" t="s">
        <v>326</v>
      </c>
      <c r="J207" s="441"/>
      <c r="K207" s="80"/>
      <c r="L207" s="110"/>
      <c r="M207" s="110"/>
      <c r="N207" s="110"/>
      <c r="O207" s="110"/>
      <c r="P207" s="110"/>
      <c r="Q207" s="110"/>
    </row>
    <row r="208" spans="1:17" s="3" customFormat="1" ht="38.25" x14ac:dyDescent="0.2">
      <c r="A208" s="1551"/>
      <c r="B208" s="1552"/>
      <c r="C208" s="1498"/>
      <c r="D208" s="1468"/>
      <c r="E208" s="1262"/>
      <c r="F208" s="1262"/>
      <c r="G208" s="1262"/>
      <c r="H208" s="1549"/>
      <c r="I208" s="1407" t="s">
        <v>1911</v>
      </c>
      <c r="J208" s="139"/>
      <c r="K208" s="80"/>
      <c r="L208" s="110"/>
      <c r="M208" s="110"/>
      <c r="N208" s="110"/>
      <c r="O208" s="110"/>
      <c r="P208" s="110"/>
      <c r="Q208" s="110"/>
    </row>
    <row r="209" spans="1:17" s="3" customFormat="1" ht="38.25" x14ac:dyDescent="0.2">
      <c r="A209" s="1551"/>
      <c r="B209" s="1552"/>
      <c r="C209" s="1498"/>
      <c r="D209" s="1468"/>
      <c r="E209" s="1262"/>
      <c r="F209" s="1262"/>
      <c r="G209" s="1262"/>
      <c r="H209" s="1549"/>
      <c r="I209" s="1407" t="s">
        <v>412</v>
      </c>
      <c r="J209" s="139"/>
      <c r="K209" s="80"/>
      <c r="L209" s="110"/>
      <c r="M209" s="110"/>
      <c r="N209" s="110"/>
      <c r="O209" s="110"/>
      <c r="P209" s="110"/>
      <c r="Q209" s="110"/>
    </row>
    <row r="210" spans="1:17" s="3" customFormat="1" ht="38.25" x14ac:dyDescent="0.2">
      <c r="A210" s="1551"/>
      <c r="B210" s="1552"/>
      <c r="C210" s="1498"/>
      <c r="D210" s="1468"/>
      <c r="E210" s="1262"/>
      <c r="F210" s="1262"/>
      <c r="G210" s="1262"/>
      <c r="H210" s="1549"/>
      <c r="I210" s="1407" t="s">
        <v>1220</v>
      </c>
      <c r="J210" s="139"/>
      <c r="K210" s="80"/>
      <c r="L210" s="110"/>
      <c r="M210" s="110"/>
      <c r="N210" s="110"/>
      <c r="O210" s="110"/>
      <c r="P210" s="110"/>
      <c r="Q210" s="110"/>
    </row>
    <row r="211" spans="1:17" s="3" customFormat="1" ht="38.25" x14ac:dyDescent="0.2">
      <c r="A211" s="1551"/>
      <c r="B211" s="1552"/>
      <c r="C211" s="1498"/>
      <c r="D211" s="1468"/>
      <c r="E211" s="1262"/>
      <c r="F211" s="1262"/>
      <c r="G211" s="1262"/>
      <c r="H211" s="1549"/>
      <c r="I211" s="1407" t="s">
        <v>1221</v>
      </c>
      <c r="J211" s="139"/>
      <c r="K211" s="80"/>
      <c r="L211" s="110"/>
      <c r="M211" s="110"/>
      <c r="N211" s="110"/>
      <c r="O211" s="110"/>
      <c r="P211" s="110"/>
      <c r="Q211" s="110"/>
    </row>
    <row r="212" spans="1:17" s="3" customFormat="1" ht="38.25" x14ac:dyDescent="0.2">
      <c r="A212" s="1551"/>
      <c r="B212" s="1552"/>
      <c r="C212" s="1498"/>
      <c r="D212" s="1469"/>
      <c r="E212" s="1262"/>
      <c r="F212" s="1262"/>
      <c r="G212" s="1262"/>
      <c r="H212" s="1549"/>
      <c r="I212" s="1407" t="s">
        <v>413</v>
      </c>
      <c r="J212" s="139"/>
      <c r="K212" s="80"/>
      <c r="L212" s="110"/>
      <c r="M212" s="110"/>
      <c r="N212" s="110"/>
      <c r="O212" s="110"/>
      <c r="P212" s="110"/>
      <c r="Q212" s="110"/>
    </row>
    <row r="213" spans="1:17" s="3" customFormat="1" ht="51" x14ac:dyDescent="0.2">
      <c r="A213" s="593"/>
      <c r="B213" s="593"/>
      <c r="C213" s="593"/>
      <c r="D213" s="593"/>
      <c r="E213" s="593"/>
      <c r="F213" s="593"/>
      <c r="G213" s="593"/>
      <c r="H213" s="599"/>
      <c r="I213" s="1407" t="s">
        <v>414</v>
      </c>
      <c r="J213" s="441"/>
      <c r="K213" s="80"/>
      <c r="L213" s="110"/>
      <c r="M213" s="110"/>
      <c r="N213" s="110"/>
      <c r="O213" s="110"/>
      <c r="P213" s="110"/>
      <c r="Q213" s="110"/>
    </row>
    <row r="214" spans="1:17" s="3" customFormat="1" ht="25.5" x14ac:dyDescent="0.2">
      <c r="A214" s="593"/>
      <c r="B214" s="593"/>
      <c r="C214" s="593"/>
      <c r="D214" s="593"/>
      <c r="E214" s="593"/>
      <c r="F214" s="593"/>
      <c r="G214" s="593"/>
      <c r="H214" s="599"/>
      <c r="I214" s="1407" t="s">
        <v>415</v>
      </c>
      <c r="J214" s="441"/>
      <c r="K214" s="80"/>
      <c r="L214" s="110"/>
      <c r="M214" s="110"/>
      <c r="N214" s="110"/>
      <c r="O214" s="110"/>
      <c r="P214" s="110"/>
      <c r="Q214" s="110"/>
    </row>
    <row r="215" spans="1:17" s="3" customFormat="1" ht="38.25" x14ac:dyDescent="0.2">
      <c r="A215" s="593"/>
      <c r="B215" s="593"/>
      <c r="C215" s="593"/>
      <c r="D215" s="593"/>
      <c r="E215" s="593"/>
      <c r="F215" s="593"/>
      <c r="G215" s="593"/>
      <c r="H215" s="599"/>
      <c r="I215" s="1407" t="s">
        <v>1912</v>
      </c>
      <c r="J215" s="139"/>
      <c r="K215" s="80"/>
      <c r="L215" s="110"/>
      <c r="M215" s="110"/>
      <c r="N215" s="110"/>
      <c r="O215" s="110"/>
      <c r="P215" s="110"/>
      <c r="Q215" s="110"/>
    </row>
    <row r="216" spans="1:17" s="31" customFormat="1" ht="51" x14ac:dyDescent="0.2">
      <c r="A216" s="593"/>
      <c r="B216" s="593"/>
      <c r="C216" s="593"/>
      <c r="D216" s="593"/>
      <c r="E216" s="593"/>
      <c r="F216" s="593"/>
      <c r="G216" s="593"/>
      <c r="H216" s="599"/>
      <c r="I216" s="821" t="s">
        <v>1913</v>
      </c>
      <c r="J216" s="141"/>
      <c r="K216" s="32"/>
    </row>
    <row r="217" spans="1:17" ht="38.25" x14ac:dyDescent="0.2">
      <c r="A217" s="593"/>
      <c r="B217" s="593"/>
      <c r="C217" s="593"/>
      <c r="D217" s="593"/>
      <c r="E217" s="593"/>
      <c r="F217" s="593"/>
      <c r="G217" s="593"/>
      <c r="H217" s="599"/>
      <c r="I217" s="1407" t="s">
        <v>1207</v>
      </c>
      <c r="J217" s="154"/>
      <c r="K217" s="155"/>
    </row>
    <row r="218" spans="1:17" ht="38.25" x14ac:dyDescent="0.2">
      <c r="A218" s="593"/>
      <c r="B218" s="593"/>
      <c r="C218" s="593"/>
      <c r="D218" s="593"/>
      <c r="E218" s="593"/>
      <c r="F218" s="593"/>
      <c r="G218" s="593"/>
      <c r="H218" s="599"/>
      <c r="I218" s="1407" t="s">
        <v>416</v>
      </c>
      <c r="J218" s="154"/>
      <c r="K218" s="155"/>
    </row>
    <row r="219" spans="1:17" ht="25.5" x14ac:dyDescent="0.2">
      <c r="A219" s="593"/>
      <c r="B219" s="593"/>
      <c r="C219" s="593"/>
      <c r="D219" s="593"/>
      <c r="E219" s="593"/>
      <c r="F219" s="593"/>
      <c r="G219" s="593"/>
      <c r="H219" s="599"/>
      <c r="I219" s="1407" t="s">
        <v>1219</v>
      </c>
      <c r="J219" s="154"/>
      <c r="K219" s="155"/>
    </row>
    <row r="220" spans="1:17" ht="38.25" x14ac:dyDescent="0.2">
      <c r="A220" s="593"/>
      <c r="B220" s="593"/>
      <c r="C220" s="593"/>
      <c r="D220" s="593"/>
      <c r="E220" s="593"/>
      <c r="F220" s="593"/>
      <c r="G220" s="593"/>
      <c r="H220" s="599"/>
      <c r="I220" s="1404" t="s">
        <v>417</v>
      </c>
      <c r="J220" s="154"/>
      <c r="K220" s="155"/>
    </row>
    <row r="221" spans="1:17" ht="38.25" x14ac:dyDescent="0.2">
      <c r="A221" s="593"/>
      <c r="B221" s="593"/>
      <c r="C221" s="593"/>
      <c r="D221" s="593"/>
      <c r="E221" s="593"/>
      <c r="F221" s="593"/>
      <c r="G221" s="593"/>
      <c r="H221" s="599"/>
      <c r="I221" s="1407" t="s">
        <v>418</v>
      </c>
      <c r="J221" s="154"/>
      <c r="K221" s="155"/>
    </row>
    <row r="222" spans="1:17" ht="38.25" x14ac:dyDescent="0.2">
      <c r="A222" s="593"/>
      <c r="B222" s="593"/>
      <c r="C222" s="593"/>
      <c r="D222" s="593"/>
      <c r="E222" s="593"/>
      <c r="F222" s="593"/>
      <c r="G222" s="593"/>
      <c r="H222" s="599"/>
      <c r="I222" s="1407" t="s">
        <v>483</v>
      </c>
      <c r="J222" s="154"/>
      <c r="K222" s="155"/>
    </row>
    <row r="223" spans="1:17" ht="38.25" x14ac:dyDescent="0.2">
      <c r="A223" s="593"/>
      <c r="B223" s="593"/>
      <c r="C223" s="593"/>
      <c r="D223" s="593"/>
      <c r="E223" s="593"/>
      <c r="F223" s="593"/>
      <c r="G223" s="593"/>
      <c r="H223" s="599"/>
      <c r="I223" s="1407" t="s">
        <v>419</v>
      </c>
      <c r="J223" s="154"/>
      <c r="K223" s="155"/>
    </row>
    <row r="224" spans="1:17" ht="38.25" x14ac:dyDescent="0.2">
      <c r="A224" s="593"/>
      <c r="B224" s="593"/>
      <c r="C224" s="593"/>
      <c r="D224" s="593"/>
      <c r="E224" s="593"/>
      <c r="F224" s="593"/>
      <c r="G224" s="593"/>
      <c r="H224" s="599"/>
      <c r="I224" s="1407" t="s">
        <v>1914</v>
      </c>
      <c r="J224" s="154"/>
      <c r="K224" s="155"/>
    </row>
    <row r="225" spans="1:11" ht="25.5" x14ac:dyDescent="0.2">
      <c r="A225" s="593"/>
      <c r="B225" s="593"/>
      <c r="C225" s="593"/>
      <c r="D225" s="593"/>
      <c r="E225" s="593"/>
      <c r="F225" s="593"/>
      <c r="G225" s="593"/>
      <c r="H225" s="599"/>
      <c r="I225" s="1407" t="s">
        <v>420</v>
      </c>
      <c r="J225" s="154"/>
      <c r="K225" s="155"/>
    </row>
    <row r="226" spans="1:11" ht="38.25" x14ac:dyDescent="0.2">
      <c r="A226" s="593"/>
      <c r="B226" s="593"/>
      <c r="C226" s="593"/>
      <c r="D226" s="593"/>
      <c r="E226" s="593"/>
      <c r="F226" s="593"/>
      <c r="G226" s="593"/>
      <c r="H226" s="599"/>
      <c r="I226" s="1407" t="s">
        <v>1915</v>
      </c>
      <c r="J226" s="154"/>
      <c r="K226" s="155"/>
    </row>
    <row r="227" spans="1:11" ht="25.5" x14ac:dyDescent="0.2">
      <c r="A227" s="593"/>
      <c r="B227" s="593"/>
      <c r="C227" s="593"/>
      <c r="D227" s="593"/>
      <c r="E227" s="593"/>
      <c r="F227" s="593"/>
      <c r="G227" s="593"/>
      <c r="H227" s="599"/>
      <c r="I227" s="1404" t="s">
        <v>421</v>
      </c>
      <c r="J227" s="154"/>
      <c r="K227" s="155"/>
    </row>
    <row r="228" spans="1:11" ht="38.25" x14ac:dyDescent="0.2">
      <c r="A228" s="593"/>
      <c r="B228" s="593"/>
      <c r="C228" s="593"/>
      <c r="D228" s="593"/>
      <c r="E228" s="593"/>
      <c r="F228" s="593"/>
      <c r="G228" s="593"/>
      <c r="H228" s="599"/>
      <c r="I228" s="1404" t="s">
        <v>422</v>
      </c>
      <c r="J228" s="154"/>
      <c r="K228" s="155"/>
    </row>
    <row r="229" spans="1:11" ht="38.25" x14ac:dyDescent="0.2">
      <c r="A229" s="593"/>
      <c r="B229" s="593"/>
      <c r="C229" s="593"/>
      <c r="D229" s="593"/>
      <c r="E229" s="593"/>
      <c r="F229" s="593"/>
      <c r="G229" s="593"/>
      <c r="H229" s="599"/>
      <c r="I229" s="1404" t="s">
        <v>1916</v>
      </c>
      <c r="J229" s="154"/>
      <c r="K229" s="155"/>
    </row>
    <row r="230" spans="1:11" ht="51" x14ac:dyDescent="0.2">
      <c r="A230" s="593"/>
      <c r="B230" s="593"/>
      <c r="C230" s="593"/>
      <c r="D230" s="593"/>
      <c r="E230" s="593"/>
      <c r="F230" s="593"/>
      <c r="G230" s="593"/>
      <c r="H230" s="599"/>
      <c r="I230" s="1404" t="s">
        <v>381</v>
      </c>
    </row>
    <row r="231" spans="1:11" ht="38.25" x14ac:dyDescent="0.2">
      <c r="A231" s="593"/>
      <c r="B231" s="593"/>
      <c r="C231" s="593"/>
      <c r="D231" s="593"/>
      <c r="E231" s="593"/>
      <c r="F231" s="593"/>
      <c r="G231" s="593"/>
      <c r="H231" s="599"/>
      <c r="I231" s="1404" t="s">
        <v>1917</v>
      </c>
    </row>
    <row r="232" spans="1:11" ht="38.25" x14ac:dyDescent="0.2">
      <c r="A232" s="593"/>
      <c r="B232" s="593"/>
      <c r="C232" s="593"/>
      <c r="D232" s="593"/>
      <c r="E232" s="593"/>
      <c r="F232" s="593"/>
      <c r="G232" s="593"/>
      <c r="H232" s="599"/>
      <c r="I232" s="1404" t="s">
        <v>1918</v>
      </c>
      <c r="J232" s="580"/>
    </row>
    <row r="233" spans="1:11" ht="25.5" x14ac:dyDescent="0.2">
      <c r="A233" s="593"/>
      <c r="B233" s="593"/>
      <c r="C233" s="593"/>
      <c r="D233" s="593"/>
      <c r="E233" s="593"/>
      <c r="F233" s="593"/>
      <c r="G233" s="593"/>
      <c r="H233" s="599"/>
      <c r="I233" s="1404" t="s">
        <v>423</v>
      </c>
    </row>
    <row r="234" spans="1:11" ht="25.5" x14ac:dyDescent="0.2">
      <c r="A234" s="593"/>
      <c r="B234" s="593"/>
      <c r="C234" s="593"/>
      <c r="D234" s="593"/>
      <c r="E234" s="593"/>
      <c r="F234" s="593"/>
      <c r="G234" s="593"/>
      <c r="H234" s="599"/>
      <c r="I234" s="1407" t="s">
        <v>424</v>
      </c>
    </row>
    <row r="235" spans="1:11" ht="38.25" x14ac:dyDescent="0.2">
      <c r="A235" s="593"/>
      <c r="B235" s="593"/>
      <c r="C235" s="593"/>
      <c r="D235" s="593"/>
      <c r="E235" s="593"/>
      <c r="F235" s="593"/>
      <c r="G235" s="593"/>
      <c r="H235" s="599"/>
      <c r="I235" s="1431" t="s">
        <v>1262</v>
      </c>
    </row>
    <row r="236" spans="1:11" ht="38.25" x14ac:dyDescent="0.2">
      <c r="A236" s="593"/>
      <c r="B236" s="593"/>
      <c r="C236" s="593"/>
      <c r="D236" s="593"/>
      <c r="E236" s="593"/>
      <c r="F236" s="593"/>
      <c r="G236" s="593"/>
      <c r="H236" s="599"/>
      <c r="I236" s="1404" t="s">
        <v>1919</v>
      </c>
    </row>
    <row r="237" spans="1:11" ht="38.25" x14ac:dyDescent="0.2">
      <c r="A237" s="593"/>
      <c r="B237" s="593"/>
      <c r="C237" s="593"/>
      <c r="D237" s="593"/>
      <c r="E237" s="593"/>
      <c r="F237" s="593"/>
      <c r="G237" s="593"/>
      <c r="H237" s="599"/>
      <c r="I237" s="1431" t="s">
        <v>1920</v>
      </c>
    </row>
    <row r="238" spans="1:11" ht="25.5" x14ac:dyDescent="0.2">
      <c r="A238" s="593"/>
      <c r="B238" s="593"/>
      <c r="C238" s="593"/>
      <c r="D238" s="593"/>
      <c r="E238" s="593"/>
      <c r="F238" s="593"/>
      <c r="G238" s="593"/>
      <c r="H238" s="599"/>
      <c r="I238" s="1404" t="s">
        <v>425</v>
      </c>
      <c r="J238" s="33"/>
    </row>
    <row r="239" spans="1:11" ht="38.25" x14ac:dyDescent="0.2">
      <c r="A239" s="593"/>
      <c r="B239" s="593"/>
      <c r="C239" s="593"/>
      <c r="D239" s="593"/>
      <c r="E239" s="593"/>
      <c r="F239" s="593"/>
      <c r="G239" s="593"/>
      <c r="H239" s="599"/>
      <c r="I239" s="1404" t="s">
        <v>1921</v>
      </c>
      <c r="J239" s="33"/>
    </row>
    <row r="240" spans="1:11" ht="38.25" x14ac:dyDescent="0.2">
      <c r="A240" s="593"/>
      <c r="B240" s="593"/>
      <c r="C240" s="593"/>
      <c r="D240" s="593"/>
      <c r="E240" s="593"/>
      <c r="F240" s="593"/>
      <c r="G240" s="593"/>
      <c r="H240" s="599"/>
      <c r="I240" s="1404" t="s">
        <v>426</v>
      </c>
      <c r="J240" s="33"/>
    </row>
    <row r="241" spans="1:10" ht="51" x14ac:dyDescent="0.2">
      <c r="A241" s="593"/>
      <c r="B241" s="593"/>
      <c r="C241" s="593"/>
      <c r="D241" s="593"/>
      <c r="E241" s="593"/>
      <c r="F241" s="593"/>
      <c r="G241" s="593"/>
      <c r="H241" s="599"/>
      <c r="I241" s="1404" t="s">
        <v>1922</v>
      </c>
      <c r="J241" s="33"/>
    </row>
    <row r="242" spans="1:10" ht="51" x14ac:dyDescent="0.2">
      <c r="A242" s="593"/>
      <c r="B242" s="593"/>
      <c r="C242" s="593"/>
      <c r="D242" s="593"/>
      <c r="E242" s="593"/>
      <c r="F242" s="593"/>
      <c r="G242" s="593"/>
      <c r="H242" s="599"/>
      <c r="I242" s="1404" t="s">
        <v>1923</v>
      </c>
      <c r="J242" s="33"/>
    </row>
    <row r="243" spans="1:10" ht="38.25" x14ac:dyDescent="0.2">
      <c r="A243" s="593"/>
      <c r="B243" s="593"/>
      <c r="C243" s="593"/>
      <c r="D243" s="593"/>
      <c r="E243" s="593"/>
      <c r="F243" s="593"/>
      <c r="G243" s="593"/>
      <c r="H243" s="599"/>
      <c r="I243" s="1407" t="s">
        <v>427</v>
      </c>
      <c r="J243" s="33"/>
    </row>
    <row r="244" spans="1:10" ht="39" customHeight="1" x14ac:dyDescent="0.2">
      <c r="A244" s="593"/>
      <c r="B244" s="593"/>
      <c r="C244" s="593"/>
      <c r="D244" s="593"/>
      <c r="E244" s="593"/>
      <c r="F244" s="593"/>
      <c r="G244" s="593"/>
      <c r="H244" s="593"/>
      <c r="I244" s="1404" t="s">
        <v>1878</v>
      </c>
      <c r="J244" s="33"/>
    </row>
    <row r="245" spans="1:10" ht="38.25" x14ac:dyDescent="0.2">
      <c r="A245" s="593"/>
      <c r="B245" s="593"/>
      <c r="C245" s="593"/>
      <c r="D245" s="593"/>
      <c r="E245" s="593"/>
      <c r="F245" s="593"/>
      <c r="G245" s="593"/>
      <c r="H245" s="593"/>
      <c r="I245" s="1404" t="s">
        <v>1924</v>
      </c>
      <c r="J245" s="33"/>
    </row>
    <row r="246" spans="1:10" ht="51" x14ac:dyDescent="0.2">
      <c r="A246" s="593"/>
      <c r="B246" s="593"/>
      <c r="C246" s="593"/>
      <c r="D246" s="593"/>
      <c r="E246" s="593"/>
      <c r="F246" s="593"/>
      <c r="G246" s="593"/>
      <c r="H246" s="593"/>
      <c r="I246" s="796" t="s">
        <v>1925</v>
      </c>
      <c r="J246" s="33"/>
    </row>
    <row r="247" spans="1:10" ht="38.25" x14ac:dyDescent="0.2">
      <c r="A247" s="593"/>
      <c r="B247" s="593"/>
      <c r="C247" s="593"/>
      <c r="D247" s="593"/>
      <c r="E247" s="593"/>
      <c r="F247" s="593"/>
      <c r="G247" s="593"/>
      <c r="H247" s="593"/>
      <c r="I247" s="1404" t="s">
        <v>1926</v>
      </c>
      <c r="J247" s="33"/>
    </row>
    <row r="248" spans="1:10" ht="51" x14ac:dyDescent="0.2">
      <c r="A248" s="593"/>
      <c r="B248" s="593"/>
      <c r="C248" s="593"/>
      <c r="D248" s="593"/>
      <c r="E248" s="593"/>
      <c r="F248" s="593"/>
      <c r="G248" s="593"/>
      <c r="H248" s="593"/>
      <c r="I248" s="796" t="s">
        <v>1927</v>
      </c>
      <c r="J248" s="33"/>
    </row>
    <row r="249" spans="1:10" ht="30.75" customHeight="1" x14ac:dyDescent="0.2">
      <c r="I249" s="1404" t="s">
        <v>1928</v>
      </c>
      <c r="J249" s="33"/>
    </row>
    <row r="250" spans="1:10" ht="25.5" x14ac:dyDescent="0.2">
      <c r="I250" s="1407" t="s">
        <v>428</v>
      </c>
      <c r="J250" s="33"/>
    </row>
    <row r="251" spans="1:10" ht="21" customHeight="1" x14ac:dyDescent="0.2">
      <c r="I251" s="1407" t="s">
        <v>1929</v>
      </c>
      <c r="J251" s="33"/>
    </row>
    <row r="252" spans="1:10" ht="51" x14ac:dyDescent="0.2">
      <c r="I252" s="821" t="s">
        <v>1930</v>
      </c>
      <c r="J252" s="33"/>
    </row>
    <row r="253" spans="1:10" ht="38.25" x14ac:dyDescent="0.2">
      <c r="I253" s="1404" t="s">
        <v>395</v>
      </c>
      <c r="J253" s="33"/>
    </row>
    <row r="254" spans="1:10" ht="38.25" x14ac:dyDescent="0.2">
      <c r="A254" s="2"/>
      <c r="B254" s="2"/>
      <c r="I254" s="1407" t="s">
        <v>360</v>
      </c>
      <c r="J254" s="33"/>
    </row>
    <row r="255" spans="1:10" ht="51" x14ac:dyDescent="0.2">
      <c r="A255" s="2"/>
      <c r="B255" s="2"/>
      <c r="I255" s="1407" t="s">
        <v>1931</v>
      </c>
      <c r="J255" s="33"/>
    </row>
    <row r="256" spans="1:10" ht="25.5" x14ac:dyDescent="0.2">
      <c r="A256" s="2"/>
      <c r="B256" s="2"/>
      <c r="I256" s="1407" t="s">
        <v>1932</v>
      </c>
      <c r="J256" s="33"/>
    </row>
    <row r="257" spans="1:10" ht="38.25" x14ac:dyDescent="0.2">
      <c r="A257" s="2"/>
      <c r="B257" s="2"/>
      <c r="I257" s="1404" t="s">
        <v>1208</v>
      </c>
      <c r="J257" s="33"/>
    </row>
    <row r="258" spans="1:10" ht="51" x14ac:dyDescent="0.2">
      <c r="A258" s="2"/>
      <c r="B258" s="2"/>
      <c r="I258" s="1404" t="s">
        <v>1933</v>
      </c>
      <c r="J258" s="33"/>
    </row>
    <row r="259" spans="1:10" ht="38.25" x14ac:dyDescent="0.2">
      <c r="A259" s="2"/>
      <c r="B259" s="2"/>
      <c r="I259" s="1407" t="s">
        <v>1934</v>
      </c>
      <c r="J259" s="33"/>
    </row>
    <row r="260" spans="1:10" ht="38.25" x14ac:dyDescent="0.2">
      <c r="A260" s="2"/>
      <c r="B260" s="2"/>
      <c r="I260" s="1407" t="s">
        <v>1805</v>
      </c>
      <c r="J260" s="33"/>
    </row>
    <row r="261" spans="1:10" ht="40.5" customHeight="1" x14ac:dyDescent="0.2">
      <c r="A261" s="2"/>
      <c r="B261" s="2"/>
      <c r="I261" s="1407" t="s">
        <v>1935</v>
      </c>
      <c r="J261" s="33"/>
    </row>
    <row r="262" spans="1:10" ht="51" x14ac:dyDescent="0.2">
      <c r="A262" s="2"/>
      <c r="B262" s="2"/>
      <c r="I262" s="821" t="s">
        <v>1936</v>
      </c>
      <c r="J262" s="33"/>
    </row>
    <row r="263" spans="1:10" ht="25.5" x14ac:dyDescent="0.2">
      <c r="A263" s="2"/>
      <c r="B263" s="2"/>
      <c r="I263" s="1407" t="s">
        <v>429</v>
      </c>
      <c r="J263" s="33"/>
    </row>
    <row r="264" spans="1:10" ht="26.25" thickBot="1" x14ac:dyDescent="0.25">
      <c r="A264" s="2"/>
      <c r="B264" s="2"/>
      <c r="I264" s="572" t="s">
        <v>548</v>
      </c>
      <c r="J264" s="33"/>
    </row>
    <row r="265" spans="1:10" x14ac:dyDescent="0.2">
      <c r="A265" s="2"/>
      <c r="B265" s="2"/>
      <c r="J265" s="33"/>
    </row>
    <row r="266" spans="1:10" x14ac:dyDescent="0.2">
      <c r="A266" s="2"/>
      <c r="B266" s="2"/>
      <c r="C266" s="1555"/>
      <c r="J266" s="33"/>
    </row>
    <row r="267" spans="1:10" x14ac:dyDescent="0.2">
      <c r="A267" s="2"/>
      <c r="B267" s="2"/>
      <c r="J267" s="33"/>
    </row>
    <row r="270" spans="1:10" ht="13.5" thickBot="1" x14ac:dyDescent="0.25"/>
    <row r="271" spans="1:10" ht="13.5" thickBot="1" x14ac:dyDescent="0.25">
      <c r="A271" s="1556"/>
    </row>
  </sheetData>
  <sheetProtection password="C4B9" sheet="1" objects="1" scenarios="1"/>
  <sortState ref="A3:CS25">
    <sortCondition ref="H3:H25"/>
  </sortState>
  <customSheetViews>
    <customSheetView guid="{B8E02330-2419-4DE6-AD01-7ACC7A5D18DD}" scale="73">
      <pageMargins left="0.75" right="0.75" top="1" bottom="1" header="0.5" footer="0.5"/>
      <pageSetup orientation="portrait" r:id="rId1"/>
      <headerFooter alignWithMargins="0"/>
    </customSheetView>
  </customSheetViews>
  <mergeCells count="118">
    <mergeCell ref="I166:I170"/>
    <mergeCell ref="I159:I165"/>
    <mergeCell ref="I152:I158"/>
    <mergeCell ref="I148:I150"/>
    <mergeCell ref="I142:I147"/>
    <mergeCell ref="I91:I95"/>
    <mergeCell ref="H148:H150"/>
    <mergeCell ref="H152:H158"/>
    <mergeCell ref="H159:H165"/>
    <mergeCell ref="H166:H170"/>
    <mergeCell ref="H142:H147"/>
    <mergeCell ref="H91:H95"/>
    <mergeCell ref="I138:I141"/>
    <mergeCell ref="I133:I136"/>
    <mergeCell ref="I129:I132"/>
    <mergeCell ref="I122:I128"/>
    <mergeCell ref="I115:I121"/>
    <mergeCell ref="I109:I114"/>
    <mergeCell ref="B21:B27"/>
    <mergeCell ref="A21:A27"/>
    <mergeCell ref="H47:H49"/>
    <mergeCell ref="H50:H55"/>
    <mergeCell ref="A82:A84"/>
    <mergeCell ref="A50:A55"/>
    <mergeCell ref="B28:B36"/>
    <mergeCell ref="A77:A81"/>
    <mergeCell ref="B50:B55"/>
    <mergeCell ref="B56:B59"/>
    <mergeCell ref="B64:B70"/>
    <mergeCell ref="B60:B63"/>
    <mergeCell ref="B47:B49"/>
    <mergeCell ref="A47:A49"/>
    <mergeCell ref="B77:B81"/>
    <mergeCell ref="B71:B76"/>
    <mergeCell ref="H82:H84"/>
    <mergeCell ref="A56:A59"/>
    <mergeCell ref="A1:B1"/>
    <mergeCell ref="B103:B108"/>
    <mergeCell ref="B109:B114"/>
    <mergeCell ref="B15:B20"/>
    <mergeCell ref="B96:B102"/>
    <mergeCell ref="A15:A20"/>
    <mergeCell ref="B37:B43"/>
    <mergeCell ref="A37:A43"/>
    <mergeCell ref="H15:H20"/>
    <mergeCell ref="E1:I1"/>
    <mergeCell ref="I15:I20"/>
    <mergeCell ref="H21:H27"/>
    <mergeCell ref="H37:H43"/>
    <mergeCell ref="H60:H63"/>
    <mergeCell ref="I85:I90"/>
    <mergeCell ref="I82:I84"/>
    <mergeCell ref="I64:I70"/>
    <mergeCell ref="I21:I27"/>
    <mergeCell ref="I103:I108"/>
    <mergeCell ref="I96:I102"/>
    <mergeCell ref="I47:I49"/>
    <mergeCell ref="I56:I59"/>
    <mergeCell ref="I37:I43"/>
    <mergeCell ref="H71:H76"/>
    <mergeCell ref="B159:B165"/>
    <mergeCell ref="I77:I81"/>
    <mergeCell ref="I71:I76"/>
    <mergeCell ref="A115:A121"/>
    <mergeCell ref="A96:A102"/>
    <mergeCell ref="A148:A150"/>
    <mergeCell ref="A142:A147"/>
    <mergeCell ref="H115:H121"/>
    <mergeCell ref="H77:H81"/>
    <mergeCell ref="B133:B136"/>
    <mergeCell ref="H122:H128"/>
    <mergeCell ref="H109:H114"/>
    <mergeCell ref="H103:H108"/>
    <mergeCell ref="H96:H102"/>
    <mergeCell ref="B91:B95"/>
    <mergeCell ref="B82:B84"/>
    <mergeCell ref="B85:B90"/>
    <mergeCell ref="B129:B132"/>
    <mergeCell ref="A129:A132"/>
    <mergeCell ref="I60:I63"/>
    <mergeCell ref="I50:I55"/>
    <mergeCell ref="A152:A158"/>
    <mergeCell ref="A60:A63"/>
    <mergeCell ref="A64:A70"/>
    <mergeCell ref="H56:H59"/>
    <mergeCell ref="H64:H70"/>
    <mergeCell ref="H133:H136"/>
    <mergeCell ref="H138:H141"/>
    <mergeCell ref="A103:A108"/>
    <mergeCell ref="A109:A114"/>
    <mergeCell ref="B115:B121"/>
    <mergeCell ref="B138:B141"/>
    <mergeCell ref="A133:A136"/>
    <mergeCell ref="B122:B128"/>
    <mergeCell ref="A172:A173"/>
    <mergeCell ref="B172:B173"/>
    <mergeCell ref="H172:H173"/>
    <mergeCell ref="I172:I173"/>
    <mergeCell ref="I28:I36"/>
    <mergeCell ref="I44:I46"/>
    <mergeCell ref="B44:B46"/>
    <mergeCell ref="H28:H36"/>
    <mergeCell ref="H44:H46"/>
    <mergeCell ref="A44:A46"/>
    <mergeCell ref="H85:H90"/>
    <mergeCell ref="B166:B170"/>
    <mergeCell ref="B152:B158"/>
    <mergeCell ref="A166:A170"/>
    <mergeCell ref="A91:A95"/>
    <mergeCell ref="A85:A90"/>
    <mergeCell ref="A71:A76"/>
    <mergeCell ref="A159:A165"/>
    <mergeCell ref="B142:B147"/>
    <mergeCell ref="B148:B150"/>
    <mergeCell ref="A28:A36"/>
    <mergeCell ref="A138:A141"/>
    <mergeCell ref="A122:A128"/>
    <mergeCell ref="H129:H132"/>
  </mergeCells>
  <phoneticPr fontId="12" type="noConversion"/>
  <pageMargins left="0.75" right="0.75" top="1" bottom="1" header="0.5" footer="0.5"/>
  <pageSetup orientation="portrait"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64"/>
  <sheetViews>
    <sheetView zoomScaleNormal="100" workbookViewId="0">
      <selection activeCell="C1" sqref="C1"/>
    </sheetView>
  </sheetViews>
  <sheetFormatPr defaultColWidth="9.33203125" defaultRowHeight="12.75" x14ac:dyDescent="0.2"/>
  <cols>
    <col min="1" max="1" width="5.83203125" style="11" customWidth="1"/>
    <col min="2" max="2" width="18.83203125" style="11" customWidth="1"/>
    <col min="3" max="3" width="69.83203125" style="123" customWidth="1"/>
    <col min="4" max="6" width="6.83203125" style="249" customWidth="1"/>
    <col min="7" max="7" width="10.83203125" style="250" customWidth="1"/>
    <col min="8" max="8" width="12.83203125" style="19" customWidth="1"/>
    <col min="9" max="9" width="67.83203125" style="11" customWidth="1"/>
    <col min="10" max="10" width="9.33203125" style="578"/>
    <col min="11" max="16384" width="9.33203125" style="200"/>
  </cols>
  <sheetData>
    <row r="1" spans="1:11" ht="45" customHeight="1" thickBot="1" x14ac:dyDescent="0.25">
      <c r="A1" s="2033" t="s">
        <v>2174</v>
      </c>
      <c r="B1" s="2210"/>
      <c r="C1" s="60" t="s">
        <v>2006</v>
      </c>
      <c r="D1" s="497" t="s">
        <v>1766</v>
      </c>
      <c r="E1" s="2183"/>
      <c r="F1" s="2184"/>
      <c r="G1" s="2184"/>
      <c r="H1" s="2184"/>
      <c r="I1" s="2185"/>
    </row>
    <row r="2" spans="1:11" s="1014" customFormat="1" ht="50.25" thickBot="1" x14ac:dyDescent="0.25">
      <c r="A2" s="1008" t="s">
        <v>78</v>
      </c>
      <c r="B2" s="1009" t="s">
        <v>701</v>
      </c>
      <c r="C2" s="1010" t="s">
        <v>866</v>
      </c>
      <c r="D2" s="1008"/>
      <c r="E2" s="1011"/>
      <c r="F2" s="1012"/>
      <c r="G2" s="1013" t="s">
        <v>710</v>
      </c>
      <c r="H2" s="1009" t="s">
        <v>2028</v>
      </c>
      <c r="I2" s="1009" t="s">
        <v>255</v>
      </c>
    </row>
    <row r="3" spans="1:11" s="1325" customFormat="1" ht="45" customHeight="1" thickBot="1" x14ac:dyDescent="0.25">
      <c r="A3" s="1308" t="str">
        <f>OF!A24</f>
        <v>OF23</v>
      </c>
      <c r="B3" s="1308" t="str">
        <f>OF!C24</f>
        <v>% of AA that is Open Water (macro scale)</v>
      </c>
      <c r="C3" s="1351"/>
      <c r="D3" s="1259"/>
      <c r="E3" s="1260"/>
      <c r="F3" s="1260"/>
      <c r="G3" s="873" t="str">
        <f>IF((OWpct=""),"",OWpct)</f>
        <v/>
      </c>
      <c r="H3" s="1261" t="s">
        <v>787</v>
      </c>
      <c r="I3" s="1352" t="s">
        <v>2283</v>
      </c>
      <c r="J3" s="209"/>
      <c r="K3" s="1668"/>
    </row>
    <row r="4" spans="1:11" s="1325" customFormat="1" ht="30" customHeight="1" thickBot="1" x14ac:dyDescent="0.25">
      <c r="A4" s="864" t="str">
        <f>OF!A56</f>
        <v>OF55</v>
      </c>
      <c r="B4" s="864" t="str">
        <f>OF!C56</f>
        <v>Fire Barrier</v>
      </c>
      <c r="C4" s="1078" t="s">
        <v>2419</v>
      </c>
      <c r="D4" s="764"/>
      <c r="E4" s="765"/>
      <c r="F4" s="765"/>
      <c r="G4" s="873" t="str">
        <f>IF((FireBreak=""),"", FireBreak)</f>
        <v/>
      </c>
      <c r="H4" s="861" t="s">
        <v>2003</v>
      </c>
      <c r="I4" s="831" t="s">
        <v>2005</v>
      </c>
      <c r="J4" s="209"/>
      <c r="K4" s="1668"/>
    </row>
    <row r="5" spans="1:11" s="1007" customFormat="1" ht="49.5" customHeight="1" thickBot="1" x14ac:dyDescent="0.35">
      <c r="A5" s="1090" t="s">
        <v>78</v>
      </c>
      <c r="B5" s="1091" t="s">
        <v>709</v>
      </c>
      <c r="C5" s="1092" t="s">
        <v>708</v>
      </c>
      <c r="D5" s="1093" t="s">
        <v>33</v>
      </c>
      <c r="E5" s="1094" t="s">
        <v>1131</v>
      </c>
      <c r="F5" s="1095" t="s">
        <v>1130</v>
      </c>
      <c r="G5" s="1096" t="s">
        <v>710</v>
      </c>
      <c r="H5" s="1097" t="s">
        <v>2028</v>
      </c>
      <c r="I5" s="1098" t="s">
        <v>917</v>
      </c>
      <c r="J5" s="1006"/>
    </row>
    <row r="6" spans="1:11" s="1" customFormat="1" ht="30" customHeight="1" thickBot="1" x14ac:dyDescent="0.25">
      <c r="A6" s="2203" t="str">
        <f>F!A127</f>
        <v>F23</v>
      </c>
      <c r="B6" s="2197" t="str">
        <f>F!B127</f>
        <v>% with Persistent Surface Water</v>
      </c>
      <c r="C6" s="508" t="str">
        <f>F!C127</f>
        <v>The percentage of the AA that has surface water (either ponded or flowing, either open or obscured by vegetation) during all of the growing season during most years is:</v>
      </c>
      <c r="D6" s="777"/>
      <c r="E6" s="376"/>
      <c r="F6" s="262"/>
      <c r="G6" s="225">
        <f>MAX(F7:F12)/MAX(E7:E12)</f>
        <v>0</v>
      </c>
      <c r="H6" s="2000" t="s">
        <v>2420</v>
      </c>
      <c r="I6" s="2011" t="s">
        <v>2284</v>
      </c>
      <c r="J6" s="574"/>
    </row>
    <row r="7" spans="1:11" ht="15" customHeight="1" x14ac:dyDescent="0.2">
      <c r="A7" s="2204"/>
      <c r="B7" s="2198"/>
      <c r="C7" s="513" t="str">
        <f>F!C128</f>
        <v>&lt;0.01 hectare and &lt;1% of the AA.  SKIP to F27 (% Flooded Only Seasonally).</v>
      </c>
      <c r="D7" s="383">
        <f>F!D128</f>
        <v>0</v>
      </c>
      <c r="E7" s="722">
        <v>0</v>
      </c>
      <c r="F7" s="722">
        <f t="shared" ref="F7:F12" si="0">D7*E7</f>
        <v>0</v>
      </c>
      <c r="G7" s="235"/>
      <c r="H7" s="1989"/>
      <c r="I7" s="2040"/>
    </row>
    <row r="8" spans="1:11" ht="15" customHeight="1" x14ac:dyDescent="0.2">
      <c r="A8" s="2204"/>
      <c r="B8" s="2198"/>
      <c r="C8" s="802" t="str">
        <f>F!C129</f>
        <v>1-5% of the AA.</v>
      </c>
      <c r="D8" s="383">
        <f>F!D129</f>
        <v>0</v>
      </c>
      <c r="E8" s="722">
        <v>1</v>
      </c>
      <c r="F8" s="722">
        <f t="shared" si="0"/>
        <v>0</v>
      </c>
      <c r="G8" s="760"/>
      <c r="H8" s="1989"/>
      <c r="I8" s="2040"/>
    </row>
    <row r="9" spans="1:11" ht="15" customHeight="1" x14ac:dyDescent="0.2">
      <c r="A9" s="2204"/>
      <c r="B9" s="2198"/>
      <c r="C9" s="802" t="str">
        <f>F!C130</f>
        <v>5-25% of the AA.</v>
      </c>
      <c r="D9" s="383">
        <f>F!D130</f>
        <v>0</v>
      </c>
      <c r="E9" s="722">
        <v>2</v>
      </c>
      <c r="F9" s="722">
        <f t="shared" si="0"/>
        <v>0</v>
      </c>
      <c r="G9" s="760"/>
      <c r="H9" s="1989"/>
      <c r="I9" s="2040"/>
    </row>
    <row r="10" spans="1:11" ht="15" customHeight="1" x14ac:dyDescent="0.2">
      <c r="A10" s="2204"/>
      <c r="B10" s="2198"/>
      <c r="C10" s="802" t="str">
        <f>F!C131</f>
        <v>25-50% of the AA.</v>
      </c>
      <c r="D10" s="383">
        <f>F!D131</f>
        <v>0</v>
      </c>
      <c r="E10" s="722">
        <v>3</v>
      </c>
      <c r="F10" s="722">
        <f t="shared" si="0"/>
        <v>0</v>
      </c>
      <c r="G10" s="760"/>
      <c r="H10" s="1989"/>
      <c r="I10" s="2040"/>
    </row>
    <row r="11" spans="1:11" ht="15" customHeight="1" x14ac:dyDescent="0.2">
      <c r="A11" s="2204"/>
      <c r="B11" s="2198"/>
      <c r="C11" s="802" t="str">
        <f>F!C132</f>
        <v>50-95% of the AA.</v>
      </c>
      <c r="D11" s="803">
        <f>F!D132</f>
        <v>0</v>
      </c>
      <c r="E11" s="722">
        <v>4</v>
      </c>
      <c r="F11" s="722">
        <f t="shared" si="0"/>
        <v>0</v>
      </c>
      <c r="G11" s="760"/>
      <c r="H11" s="1989"/>
      <c r="I11" s="2040"/>
    </row>
    <row r="12" spans="1:11" ht="15" customHeight="1" thickBot="1" x14ac:dyDescent="0.25">
      <c r="A12" s="2205"/>
      <c r="B12" s="2202"/>
      <c r="C12" s="804" t="str">
        <f>F!C133</f>
        <v>&gt;95% of the AA.</v>
      </c>
      <c r="D12" s="191">
        <f>F!D133</f>
        <v>0</v>
      </c>
      <c r="E12" s="244">
        <v>5</v>
      </c>
      <c r="F12" s="244">
        <f t="shared" si="0"/>
        <v>0</v>
      </c>
      <c r="G12" s="237"/>
      <c r="H12" s="1990"/>
      <c r="I12" s="2041"/>
    </row>
    <row r="13" spans="1:11" ht="21" customHeight="1" thickBot="1" x14ac:dyDescent="0.25">
      <c r="A13" s="2244" t="str">
        <f>F!A269</f>
        <v>F56</v>
      </c>
      <c r="B13" s="2244" t="str">
        <f>F!B269</f>
        <v>Burn History</v>
      </c>
      <c r="C13" s="1556" t="str">
        <f>F!C269</f>
        <v>More than 1% of the AA's previously vegetated area:</v>
      </c>
      <c r="D13" s="1700"/>
      <c r="E13" s="1701"/>
      <c r="F13" s="288"/>
      <c r="G13" s="232">
        <f>MAX(F14:F17)/MAX(E14:E17)</f>
        <v>0</v>
      </c>
      <c r="H13" s="1910" t="s">
        <v>1767</v>
      </c>
      <c r="I13" s="2011" t="s">
        <v>2285</v>
      </c>
    </row>
    <row r="14" spans="1:11" ht="15" customHeight="1" x14ac:dyDescent="0.2">
      <c r="A14" s="2245"/>
      <c r="B14" s="2245"/>
      <c r="C14" s="1702" t="str">
        <f>F!C270</f>
        <v>burned within past 5 years.</v>
      </c>
      <c r="D14" s="1703">
        <f>F!D270</f>
        <v>0</v>
      </c>
      <c r="E14" s="748">
        <v>6</v>
      </c>
      <c r="F14" s="380">
        <f t="shared" ref="F14:F17" si="1">D14*E14</f>
        <v>0</v>
      </c>
      <c r="G14" s="760"/>
      <c r="H14" s="1881"/>
      <c r="I14" s="2040"/>
    </row>
    <row r="15" spans="1:11" ht="15" customHeight="1" x14ac:dyDescent="0.2">
      <c r="A15" s="2245"/>
      <c r="B15" s="2245"/>
      <c r="C15" s="1704" t="str">
        <f>F!C271</f>
        <v>burned 6-10 years ago.</v>
      </c>
      <c r="D15" s="1703">
        <f>F!D271</f>
        <v>0</v>
      </c>
      <c r="E15" s="748">
        <v>2</v>
      </c>
      <c r="F15" s="380">
        <f t="shared" si="1"/>
        <v>0</v>
      </c>
      <c r="G15" s="760"/>
      <c r="H15" s="1881"/>
      <c r="I15" s="2040"/>
    </row>
    <row r="16" spans="1:11" ht="15" customHeight="1" x14ac:dyDescent="0.2">
      <c r="A16" s="2245"/>
      <c r="B16" s="2245"/>
      <c r="C16" s="1704" t="str">
        <f>F!C272</f>
        <v>burned 11-30 years ago.</v>
      </c>
      <c r="D16" s="1703">
        <f>F!D272</f>
        <v>0</v>
      </c>
      <c r="E16" s="748">
        <v>1</v>
      </c>
      <c r="F16" s="380">
        <f t="shared" si="1"/>
        <v>0</v>
      </c>
      <c r="G16" s="760"/>
      <c r="H16" s="1881"/>
      <c r="I16" s="2040"/>
    </row>
    <row r="17" spans="1:13" ht="15" customHeight="1" thickBot="1" x14ac:dyDescent="0.25">
      <c r="A17" s="2246"/>
      <c r="B17" s="2246"/>
      <c r="C17" s="438" t="str">
        <f>F!C273</f>
        <v>burned &gt;30 years ago, or no evidence of a burn and no data.</v>
      </c>
      <c r="D17" s="1705">
        <f>F!D273</f>
        <v>0</v>
      </c>
      <c r="E17" s="205">
        <v>0</v>
      </c>
      <c r="F17" s="244">
        <f t="shared" si="1"/>
        <v>0</v>
      </c>
      <c r="G17" s="237"/>
      <c r="H17" s="1882"/>
      <c r="I17" s="2041"/>
    </row>
    <row r="18" spans="1:13" ht="21" customHeight="1" thickBot="1" x14ac:dyDescent="0.25">
      <c r="A18" s="15"/>
      <c r="B18" s="15"/>
      <c r="D18" s="1706"/>
      <c r="E18" s="1706"/>
      <c r="F18" s="1706"/>
      <c r="G18" s="1706"/>
      <c r="H18" s="110"/>
      <c r="I18" s="110"/>
    </row>
    <row r="19" spans="1:13" s="5" customFormat="1" ht="21" customHeight="1" thickBot="1" x14ac:dyDescent="0.25">
      <c r="A19" s="1246"/>
      <c r="B19" s="1246"/>
      <c r="C19" s="639" t="s">
        <v>846</v>
      </c>
      <c r="H19" s="6"/>
      <c r="I19" s="6"/>
      <c r="J19" s="574"/>
    </row>
    <row r="20" spans="1:13" s="5" customFormat="1" ht="21" customHeight="1" thickBot="1" x14ac:dyDescent="0.25">
      <c r="A20" s="1246"/>
      <c r="B20" s="1246"/>
      <c r="C20" s="417" t="s">
        <v>1765</v>
      </c>
      <c r="D20" s="1027"/>
      <c r="E20" s="1027"/>
      <c r="F20" s="1027"/>
      <c r="G20" s="1027"/>
      <c r="H20" s="6"/>
      <c r="I20" s="6"/>
      <c r="J20" s="574"/>
    </row>
    <row r="21" spans="1:13" s="5" customFormat="1" ht="21" customHeight="1" thickBot="1" x14ac:dyDescent="0.25">
      <c r="A21" s="1246"/>
      <c r="B21" s="1246"/>
      <c r="C21" s="83" t="s">
        <v>2488</v>
      </c>
      <c r="D21" s="507"/>
      <c r="E21" s="507"/>
      <c r="F21" s="507"/>
      <c r="G21" s="582">
        <f>10*MAX(FireBreak, OWpct, PermWpct13, Burn15)</f>
        <v>0</v>
      </c>
      <c r="H21" s="6"/>
      <c r="I21" s="6"/>
      <c r="J21" s="574"/>
    </row>
    <row r="22" spans="1:13" s="940" customFormat="1" ht="21" customHeight="1" thickBot="1" x14ac:dyDescent="0.25">
      <c r="A22" s="1246"/>
      <c r="B22" s="1246"/>
      <c r="D22" s="579"/>
      <c r="E22" s="489"/>
      <c r="F22" s="489"/>
      <c r="G22" s="489"/>
      <c r="H22" s="591"/>
      <c r="I22" s="824" t="s">
        <v>293</v>
      </c>
      <c r="J22" s="141"/>
      <c r="K22" s="110"/>
      <c r="L22" s="110"/>
      <c r="M22" s="110"/>
    </row>
    <row r="23" spans="1:13" s="122" customFormat="1" ht="49.5" customHeight="1" x14ac:dyDescent="0.2">
      <c r="A23" s="1467"/>
      <c r="B23" s="1552"/>
      <c r="C23" s="1467"/>
      <c r="D23" s="1468"/>
      <c r="E23" s="489"/>
      <c r="F23" s="489"/>
      <c r="G23" s="489"/>
      <c r="H23" s="591"/>
      <c r="I23" s="815" t="s">
        <v>2004</v>
      </c>
      <c r="J23" s="140"/>
      <c r="K23" s="119"/>
      <c r="L23" s="119"/>
      <c r="M23" s="119"/>
    </row>
    <row r="24" spans="1:13" s="122" customFormat="1" ht="42" customHeight="1" thickBot="1" x14ac:dyDescent="0.25">
      <c r="A24" s="1467"/>
      <c r="B24" s="1630"/>
      <c r="C24" s="1467"/>
      <c r="D24" s="1468"/>
      <c r="E24" s="489"/>
      <c r="F24" s="489"/>
      <c r="G24" s="489"/>
      <c r="H24" s="591"/>
      <c r="I24" s="312" t="s">
        <v>2176</v>
      </c>
      <c r="J24" s="140"/>
      <c r="K24" s="119"/>
      <c r="L24" s="119"/>
      <c r="M24" s="119"/>
    </row>
    <row r="25" spans="1:13" s="122" customFormat="1" ht="42" customHeight="1" x14ac:dyDescent="0.2">
      <c r="A25" s="1467"/>
      <c r="B25" s="1552"/>
      <c r="C25" s="1467"/>
      <c r="D25" s="1468"/>
      <c r="E25" s="489"/>
      <c r="F25" s="489"/>
      <c r="G25" s="489"/>
      <c r="H25" s="489"/>
      <c r="I25" s="1099"/>
      <c r="J25" s="140"/>
      <c r="K25" s="119"/>
      <c r="L25" s="119"/>
      <c r="M25" s="119"/>
    </row>
    <row r="26" spans="1:13" s="122" customFormat="1" ht="39" customHeight="1" x14ac:dyDescent="0.2">
      <c r="A26" s="1467"/>
      <c r="B26" s="1552"/>
      <c r="C26" s="1467"/>
      <c r="D26" s="1468"/>
      <c r="E26" s="489"/>
      <c r="F26" s="489"/>
      <c r="G26" s="489"/>
      <c r="H26" s="489"/>
      <c r="I26" s="1099"/>
      <c r="J26" s="140"/>
      <c r="K26" s="119"/>
      <c r="L26" s="119"/>
      <c r="M26" s="119"/>
    </row>
    <row r="27" spans="1:13" s="122" customFormat="1" ht="42" customHeight="1" x14ac:dyDescent="0.2">
      <c r="A27" s="1467"/>
      <c r="B27" s="1552"/>
      <c r="C27" s="1467"/>
      <c r="D27" s="1468"/>
      <c r="E27" s="489"/>
      <c r="F27" s="489"/>
      <c r="G27" s="489"/>
      <c r="H27" s="489"/>
      <c r="I27" s="1099"/>
      <c r="J27" s="140"/>
      <c r="K27" s="119"/>
      <c r="L27" s="119"/>
      <c r="M27" s="119"/>
    </row>
    <row r="28" spans="1:13" s="122" customFormat="1" ht="42" customHeight="1" x14ac:dyDescent="0.2">
      <c r="A28" s="1467"/>
      <c r="B28" s="1552"/>
      <c r="C28" s="1467"/>
      <c r="D28" s="1468"/>
      <c r="E28" s="489"/>
      <c r="F28" s="489"/>
      <c r="G28" s="489"/>
      <c r="H28" s="489"/>
      <c r="I28" s="1099"/>
      <c r="J28" s="140"/>
      <c r="K28" s="119"/>
      <c r="L28" s="119"/>
      <c r="M28" s="119"/>
    </row>
    <row r="29" spans="1:13" s="122" customFormat="1" ht="27" customHeight="1" x14ac:dyDescent="0.2">
      <c r="A29" s="1467"/>
      <c r="B29" s="1630"/>
      <c r="C29" s="1467"/>
      <c r="D29" s="1468"/>
      <c r="E29" s="489"/>
      <c r="F29" s="489"/>
      <c r="G29" s="489"/>
      <c r="H29" s="489"/>
      <c r="I29" s="940"/>
      <c r="J29" s="140"/>
      <c r="K29" s="119"/>
      <c r="L29" s="119"/>
      <c r="M29" s="119"/>
    </row>
    <row r="30" spans="1:13" s="940" customFormat="1" ht="27" customHeight="1" x14ac:dyDescent="0.2">
      <c r="A30" s="1467"/>
      <c r="B30" s="412"/>
      <c r="C30" s="588"/>
      <c r="D30" s="1554"/>
      <c r="E30" s="489"/>
      <c r="F30" s="489"/>
      <c r="G30" s="489"/>
      <c r="H30" s="489"/>
      <c r="J30" s="141"/>
      <c r="K30" s="110"/>
      <c r="L30" s="110"/>
      <c r="M30" s="110"/>
    </row>
    <row r="31" spans="1:13" s="940" customFormat="1" ht="42" customHeight="1" x14ac:dyDescent="0.2">
      <c r="A31" s="1467"/>
      <c r="B31" s="1552"/>
      <c r="C31" s="1467"/>
      <c r="D31" s="1468"/>
      <c r="E31" s="489"/>
      <c r="F31" s="489"/>
      <c r="G31" s="489"/>
      <c r="H31" s="489"/>
      <c r="I31" s="136"/>
      <c r="J31" s="141"/>
      <c r="K31" s="110"/>
      <c r="L31" s="110"/>
      <c r="M31" s="110"/>
    </row>
    <row r="32" spans="1:13" s="940" customFormat="1" ht="41.25" customHeight="1" x14ac:dyDescent="0.2">
      <c r="A32" s="1467"/>
      <c r="B32" s="1630"/>
      <c r="C32" s="1467"/>
      <c r="D32" s="1468"/>
      <c r="E32" s="489"/>
      <c r="F32" s="489"/>
      <c r="G32" s="489"/>
      <c r="H32" s="489"/>
      <c r="I32" s="1099"/>
      <c r="J32" s="141"/>
      <c r="K32" s="110"/>
      <c r="L32" s="110"/>
      <c r="M32" s="110"/>
    </row>
    <row r="33" spans="1:13" s="940" customFormat="1" ht="39" customHeight="1" x14ac:dyDescent="0.2">
      <c r="A33" s="1467"/>
      <c r="B33" s="1552"/>
      <c r="C33" s="1467"/>
      <c r="D33" s="1468"/>
      <c r="E33" s="489"/>
      <c r="F33" s="489"/>
      <c r="G33" s="489"/>
      <c r="H33" s="489"/>
      <c r="I33" s="136"/>
      <c r="J33" s="141"/>
      <c r="K33" s="110"/>
      <c r="L33" s="110"/>
      <c r="M33" s="110"/>
    </row>
    <row r="34" spans="1:13" s="940" customFormat="1" ht="42" customHeight="1" x14ac:dyDescent="0.2">
      <c r="A34" s="1467"/>
      <c r="B34" s="1552"/>
      <c r="C34" s="1467"/>
      <c r="D34" s="1468"/>
      <c r="E34" s="489"/>
      <c r="F34" s="489"/>
      <c r="G34" s="489"/>
      <c r="H34" s="489"/>
      <c r="I34" s="1099"/>
      <c r="J34" s="141"/>
      <c r="K34" s="110"/>
      <c r="L34" s="110"/>
      <c r="M34" s="110"/>
    </row>
    <row r="35" spans="1:13" s="940" customFormat="1" ht="27" customHeight="1" x14ac:dyDescent="0.2">
      <c r="A35" s="1467"/>
      <c r="B35" s="1552"/>
      <c r="C35" s="1467"/>
      <c r="D35" s="1468"/>
      <c r="E35" s="489"/>
      <c r="F35" s="489"/>
      <c r="G35" s="489"/>
      <c r="H35" s="489"/>
      <c r="I35" s="110"/>
      <c r="J35" s="141"/>
      <c r="K35" s="110"/>
      <c r="L35" s="110"/>
      <c r="M35" s="110"/>
    </row>
    <row r="36" spans="1:13" s="940" customFormat="1" ht="27" customHeight="1" x14ac:dyDescent="0.2">
      <c r="A36" s="1467"/>
      <c r="B36" s="1552"/>
      <c r="C36" s="1467"/>
      <c r="D36" s="1468"/>
      <c r="E36" s="489"/>
      <c r="F36" s="489"/>
      <c r="G36" s="489"/>
      <c r="H36" s="489"/>
      <c r="J36" s="141"/>
      <c r="K36" s="110"/>
      <c r="L36" s="110"/>
      <c r="M36" s="110"/>
    </row>
    <row r="37" spans="1:13" s="940" customFormat="1" ht="27" customHeight="1" x14ac:dyDescent="0.2">
      <c r="A37" s="1467"/>
      <c r="B37" s="1630"/>
      <c r="C37" s="1467"/>
      <c r="D37" s="1468"/>
      <c r="E37" s="489"/>
      <c r="F37" s="489"/>
      <c r="G37" s="489"/>
      <c r="H37" s="489"/>
      <c r="I37" s="110"/>
      <c r="J37" s="141"/>
      <c r="K37" s="110"/>
      <c r="L37" s="110"/>
      <c r="M37" s="110"/>
    </row>
    <row r="38" spans="1:13" s="940" customFormat="1" ht="42" customHeight="1" x14ac:dyDescent="0.2">
      <c r="A38" s="110"/>
      <c r="B38" s="110"/>
      <c r="C38" s="110"/>
      <c r="D38" s="110"/>
      <c r="E38" s="110"/>
      <c r="F38" s="110"/>
      <c r="G38" s="110"/>
      <c r="H38" s="110"/>
      <c r="I38" s="110"/>
      <c r="J38" s="141"/>
      <c r="K38" s="110"/>
      <c r="L38" s="110"/>
      <c r="M38" s="110"/>
    </row>
    <row r="39" spans="1:13" s="940" customFormat="1" ht="42" customHeight="1" x14ac:dyDescent="0.2">
      <c r="A39" s="110"/>
      <c r="B39" s="110"/>
      <c r="C39" s="110"/>
      <c r="D39" s="110"/>
      <c r="E39" s="110"/>
      <c r="F39" s="110"/>
      <c r="G39" s="110"/>
      <c r="H39" s="110"/>
      <c r="I39" s="1099"/>
      <c r="J39" s="141"/>
      <c r="K39" s="110"/>
      <c r="L39" s="110"/>
      <c r="M39" s="110"/>
    </row>
    <row r="40" spans="1:13" ht="27" customHeight="1" x14ac:dyDescent="0.2">
      <c r="A40" s="110"/>
      <c r="B40" s="110"/>
      <c r="C40" s="110"/>
      <c r="D40" s="110"/>
      <c r="E40" s="110"/>
      <c r="F40" s="110"/>
      <c r="G40" s="110"/>
      <c r="H40" s="110"/>
      <c r="I40" s="122"/>
    </row>
    <row r="41" spans="1:13" ht="27" customHeight="1" x14ac:dyDescent="0.2">
      <c r="A41" s="110"/>
      <c r="B41" s="110"/>
      <c r="C41" s="110"/>
      <c r="D41" s="110"/>
      <c r="E41" s="110"/>
      <c r="F41" s="110"/>
      <c r="G41" s="110"/>
      <c r="H41" s="110"/>
      <c r="I41" s="122"/>
    </row>
    <row r="42" spans="1:13" ht="42" customHeight="1" x14ac:dyDescent="0.2">
      <c r="A42" s="110"/>
      <c r="B42" s="110"/>
      <c r="C42" s="110"/>
      <c r="D42" s="110"/>
      <c r="E42" s="110"/>
      <c r="F42" s="110"/>
      <c r="G42" s="110"/>
      <c r="H42" s="110"/>
      <c r="I42" s="122"/>
    </row>
    <row r="43" spans="1:13" ht="42" customHeight="1" x14ac:dyDescent="0.2">
      <c r="A43" s="110"/>
      <c r="B43" s="110"/>
      <c r="C43" s="110"/>
      <c r="D43" s="110"/>
      <c r="E43" s="110"/>
      <c r="F43" s="110"/>
      <c r="G43" s="110"/>
      <c r="H43" s="110"/>
      <c r="I43" s="1099"/>
    </row>
    <row r="44" spans="1:13" ht="40.5" customHeight="1" x14ac:dyDescent="0.2">
      <c r="A44" s="110"/>
      <c r="B44" s="110"/>
      <c r="C44" s="110"/>
      <c r="D44" s="110"/>
      <c r="E44" s="110"/>
      <c r="F44" s="110"/>
      <c r="G44" s="110"/>
      <c r="H44" s="110"/>
      <c r="I44" s="1099"/>
    </row>
    <row r="45" spans="1:13" x14ac:dyDescent="0.2">
      <c r="C45" s="200"/>
    </row>
    <row r="46" spans="1:13" x14ac:dyDescent="0.2">
      <c r="C46" s="200"/>
    </row>
    <row r="47" spans="1:13" x14ac:dyDescent="0.2">
      <c r="C47" s="200"/>
    </row>
    <row r="48" spans="1:13" x14ac:dyDescent="0.2">
      <c r="C48" s="200"/>
    </row>
    <row r="49" spans="1:10" x14ac:dyDescent="0.2">
      <c r="C49" s="200"/>
    </row>
    <row r="50" spans="1:10" x14ac:dyDescent="0.2">
      <c r="C50" s="200"/>
    </row>
    <row r="51" spans="1:10" s="213" customFormat="1" x14ac:dyDescent="0.2">
      <c r="A51" s="15"/>
      <c r="B51" s="15"/>
      <c r="D51" s="181"/>
      <c r="E51" s="181"/>
      <c r="F51" s="181"/>
      <c r="G51" s="251"/>
      <c r="H51" s="19"/>
      <c r="J51" s="134"/>
    </row>
    <row r="52" spans="1:10" s="213" customFormat="1" x14ac:dyDescent="0.2">
      <c r="A52" s="15"/>
      <c r="B52" s="15"/>
      <c r="D52" s="181"/>
      <c r="E52" s="181"/>
      <c r="F52" s="181"/>
      <c r="G52" s="251"/>
      <c r="H52" s="19"/>
      <c r="J52" s="134"/>
    </row>
    <row r="53" spans="1:10" s="213" customFormat="1" x14ac:dyDescent="0.2">
      <c r="A53" s="15"/>
      <c r="B53" s="15"/>
      <c r="D53" s="181"/>
      <c r="E53" s="181"/>
      <c r="F53" s="181"/>
      <c r="G53" s="251"/>
      <c r="H53" s="19"/>
      <c r="J53" s="134"/>
    </row>
    <row r="54" spans="1:10" s="213" customFormat="1" x14ac:dyDescent="0.2">
      <c r="A54" s="15"/>
      <c r="B54" s="15"/>
      <c r="D54" s="181"/>
      <c r="E54" s="181"/>
      <c r="F54" s="181"/>
      <c r="G54" s="251"/>
      <c r="H54" s="19"/>
      <c r="J54" s="134"/>
    </row>
    <row r="55" spans="1:10" s="213" customFormat="1" x14ac:dyDescent="0.2">
      <c r="A55" s="15"/>
      <c r="B55" s="15"/>
      <c r="D55" s="181"/>
      <c r="E55" s="181"/>
      <c r="F55" s="181"/>
      <c r="G55" s="251"/>
      <c r="H55" s="19"/>
      <c r="J55" s="134"/>
    </row>
    <row r="56" spans="1:10" s="213" customFormat="1" x14ac:dyDescent="0.2">
      <c r="A56" s="15"/>
      <c r="B56" s="15"/>
      <c r="D56" s="181"/>
      <c r="E56" s="181"/>
      <c r="F56" s="181"/>
      <c r="G56" s="251"/>
      <c r="H56" s="19"/>
      <c r="I56" s="15"/>
      <c r="J56" s="134"/>
    </row>
    <row r="57" spans="1:10" s="213" customFormat="1" x14ac:dyDescent="0.2">
      <c r="A57" s="15"/>
      <c r="B57" s="15"/>
      <c r="D57" s="181"/>
      <c r="E57" s="181"/>
      <c r="F57" s="181"/>
      <c r="G57" s="251"/>
      <c r="H57" s="19"/>
      <c r="I57" s="15"/>
      <c r="J57" s="134"/>
    </row>
    <row r="58" spans="1:10" s="213" customFormat="1" x14ac:dyDescent="0.2">
      <c r="A58" s="15"/>
      <c r="B58" s="15"/>
      <c r="D58" s="181"/>
      <c r="E58" s="181"/>
      <c r="F58" s="181"/>
      <c r="G58" s="251"/>
      <c r="H58" s="19"/>
      <c r="I58" s="15"/>
      <c r="J58" s="134"/>
    </row>
    <row r="59" spans="1:10" x14ac:dyDescent="0.2">
      <c r="C59" s="200"/>
    </row>
    <row r="60" spans="1:10" x14ac:dyDescent="0.2">
      <c r="C60" s="200"/>
    </row>
    <row r="61" spans="1:10" x14ac:dyDescent="0.2">
      <c r="C61" s="200"/>
    </row>
    <row r="62" spans="1:10" x14ac:dyDescent="0.2">
      <c r="C62" s="200"/>
    </row>
    <row r="63" spans="1:10" x14ac:dyDescent="0.2">
      <c r="C63" s="200"/>
    </row>
    <row r="64" spans="1:10" x14ac:dyDescent="0.2">
      <c r="C64" s="200"/>
    </row>
  </sheetData>
  <sheetProtection password="C4B9" sheet="1" objects="1" scenarios="1"/>
  <mergeCells count="10">
    <mergeCell ref="I13:I17"/>
    <mergeCell ref="B13:B17"/>
    <mergeCell ref="A1:B1"/>
    <mergeCell ref="E1:I1"/>
    <mergeCell ref="A6:A12"/>
    <mergeCell ref="B6:B12"/>
    <mergeCell ref="H6:H12"/>
    <mergeCell ref="I6:I12"/>
    <mergeCell ref="A13:A17"/>
    <mergeCell ref="H13:H17"/>
  </mergeCells>
  <pageMargins left="0.75" right="0.75" top="1"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M93"/>
  <sheetViews>
    <sheetView zoomScaleNormal="100" workbookViewId="0">
      <selection activeCell="H7" sqref="H7"/>
    </sheetView>
  </sheetViews>
  <sheetFormatPr defaultColWidth="9.33203125" defaultRowHeight="12.75" x14ac:dyDescent="0.2"/>
  <cols>
    <col min="1" max="1" width="5.83203125" style="25" customWidth="1"/>
    <col min="2" max="2" width="18.83203125" style="25" customWidth="1"/>
    <col min="3" max="3" width="69.83203125" style="25" customWidth="1"/>
    <col min="4" max="6" width="6.83203125" style="574" customWidth="1"/>
    <col min="7" max="7" width="10.83203125" style="179" customWidth="1"/>
    <col min="8" max="8" width="12.83203125" style="25" customWidth="1"/>
    <col min="9" max="9" width="67.83203125" style="25" customWidth="1"/>
    <col min="10" max="16384" width="9.33203125" style="1"/>
  </cols>
  <sheetData>
    <row r="1" spans="1:65" s="65" customFormat="1" ht="75.75" thickBot="1" x14ac:dyDescent="0.3">
      <c r="A1" s="2249" t="s">
        <v>1758</v>
      </c>
      <c r="B1" s="2250"/>
      <c r="C1" s="560" t="s">
        <v>518</v>
      </c>
      <c r="D1" s="176" t="s">
        <v>1116</v>
      </c>
      <c r="E1" s="2252"/>
      <c r="F1" s="2253"/>
      <c r="G1" s="2253"/>
      <c r="H1" s="2253"/>
      <c r="I1" s="2254"/>
    </row>
    <row r="2" spans="1:65" s="1100" customFormat="1" ht="50.25" thickBot="1" x14ac:dyDescent="0.25">
      <c r="A2" s="1008" t="s">
        <v>78</v>
      </c>
      <c r="B2" s="1009" t="s">
        <v>1237</v>
      </c>
      <c r="C2" s="1010" t="s">
        <v>866</v>
      </c>
      <c r="D2" s="1008"/>
      <c r="E2" s="1011"/>
      <c r="F2" s="1012"/>
      <c r="G2" s="1013" t="s">
        <v>710</v>
      </c>
      <c r="H2" s="1009" t="s">
        <v>2028</v>
      </c>
      <c r="I2" s="1009" t="s">
        <v>255</v>
      </c>
    </row>
    <row r="3" spans="1:65" s="1353" customFormat="1" ht="39" thickBot="1" x14ac:dyDescent="0.25">
      <c r="A3" s="418" t="str">
        <f>OF!A8</f>
        <v>OF7</v>
      </c>
      <c r="B3" s="323" t="str">
        <f>OF!C8</f>
        <v>Distance to Nearest Road (from Wetland Edge)</v>
      </c>
      <c r="C3" s="1078"/>
      <c r="D3" s="413"/>
      <c r="E3" s="325"/>
      <c r="F3" s="325"/>
      <c r="G3" s="345" t="str">
        <f>IF((Dist2Road=""),"",Dist2Road)</f>
        <v/>
      </c>
      <c r="H3" s="1360" t="s">
        <v>812</v>
      </c>
      <c r="I3" s="1378" t="s">
        <v>471</v>
      </c>
    </row>
    <row r="4" spans="1:65" s="1353" customFormat="1" ht="31.5" customHeight="1" thickBot="1" x14ac:dyDescent="0.25">
      <c r="A4" s="317" t="str">
        <f>OF!A9</f>
        <v>OF8</v>
      </c>
      <c r="B4" s="318" t="str">
        <f>OF!C9</f>
        <v>Distance to Nearest Well-settled Area</v>
      </c>
      <c r="C4" s="1078"/>
      <c r="D4" s="414"/>
      <c r="E4" s="321"/>
      <c r="F4" s="321"/>
      <c r="G4" s="330" t="str">
        <f>IF((DistPop=""),"",DistPop)</f>
        <v/>
      </c>
      <c r="H4" s="332" t="s">
        <v>673</v>
      </c>
      <c r="I4" s="77" t="s">
        <v>257</v>
      </c>
    </row>
    <row r="5" spans="1:65" s="1353" customFormat="1" ht="30" customHeight="1" thickBot="1" x14ac:dyDescent="0.25">
      <c r="A5" s="1308" t="str">
        <f>OF!A23</f>
        <v>OF22</v>
      </c>
      <c r="B5" s="1308" t="str">
        <f>OF!C23</f>
        <v xml:space="preserve">Open Water Area </v>
      </c>
      <c r="C5" s="479"/>
      <c r="D5" s="414"/>
      <c r="E5" s="1260"/>
      <c r="F5" s="865"/>
      <c r="G5" s="809" t="str">
        <f>IF((OWarea=""),"",OWarea)</f>
        <v/>
      </c>
      <c r="H5" s="1261" t="s">
        <v>852</v>
      </c>
      <c r="I5" s="1352" t="s">
        <v>2422</v>
      </c>
    </row>
    <row r="6" spans="1:65" s="1353" customFormat="1" ht="30" customHeight="1" thickBot="1" x14ac:dyDescent="0.25">
      <c r="A6" s="418" t="str">
        <f>OF!A32</f>
        <v>OF31</v>
      </c>
      <c r="B6" s="323" t="str">
        <f>OF!C32</f>
        <v>Road Density Within 1km Buffer</v>
      </c>
      <c r="C6" s="447"/>
      <c r="D6" s="413"/>
      <c r="E6" s="325"/>
      <c r="F6" s="503"/>
      <c r="G6" s="485" t="str">
        <f>IF((RdDens1k=""),"",RdDens1k)</f>
        <v/>
      </c>
      <c r="H6" s="1374" t="s">
        <v>688</v>
      </c>
      <c r="I6" s="501" t="s">
        <v>911</v>
      </c>
      <c r="J6" s="1707"/>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25"/>
    </row>
    <row r="7" spans="1:65" s="1353" customFormat="1" ht="30" customHeight="1" thickBot="1" x14ac:dyDescent="0.25">
      <c r="A7" s="317" t="str">
        <f>OF!A33</f>
        <v>OF32</v>
      </c>
      <c r="B7" s="318" t="str">
        <f>OF!C33</f>
        <v xml:space="preserve">Ecological Reserve or Natural Area </v>
      </c>
      <c r="C7" s="479" t="s">
        <v>1046</v>
      </c>
      <c r="D7" s="414"/>
      <c r="E7" s="321"/>
      <c r="F7" s="415"/>
      <c r="G7" s="330" t="str">
        <f>IF((Reserve=""),"",IF((Reserve=1),1,""))</f>
        <v/>
      </c>
      <c r="H7" s="332" t="s">
        <v>691</v>
      </c>
      <c r="I7" s="424" t="s">
        <v>912</v>
      </c>
    </row>
    <row r="8" spans="1:65" s="1353" customFormat="1" ht="30" customHeight="1" thickBot="1" x14ac:dyDescent="0.25">
      <c r="A8" s="418" t="str">
        <f>OF!A44</f>
        <v>OF43</v>
      </c>
      <c r="B8" s="323" t="str">
        <f>OF!C44</f>
        <v>AA Size</v>
      </c>
      <c r="C8" s="447" t="s">
        <v>406</v>
      </c>
      <c r="D8" s="324"/>
      <c r="E8" s="325"/>
      <c r="F8" s="325"/>
      <c r="G8" s="345" t="str">
        <f>IF((WetArea=""),"",WetArea)</f>
        <v/>
      </c>
      <c r="H8" s="1360" t="s">
        <v>655</v>
      </c>
      <c r="I8" s="1362" t="s">
        <v>2421</v>
      </c>
      <c r="J8" s="1707"/>
    </row>
    <row r="9" spans="1:65" s="1101" customFormat="1" ht="66.75" thickBot="1" x14ac:dyDescent="0.25">
      <c r="A9" s="1106" t="s">
        <v>78</v>
      </c>
      <c r="B9" s="1063" t="s">
        <v>1238</v>
      </c>
      <c r="C9" s="1021" t="s">
        <v>708</v>
      </c>
      <c r="D9" s="1064" t="s">
        <v>33</v>
      </c>
      <c r="E9" s="1065" t="s">
        <v>1131</v>
      </c>
      <c r="F9" s="1066" t="s">
        <v>1130</v>
      </c>
      <c r="G9" s="1067" t="s">
        <v>710</v>
      </c>
      <c r="H9" s="1068" t="s">
        <v>2028</v>
      </c>
      <c r="I9" s="1068" t="s">
        <v>917</v>
      </c>
    </row>
    <row r="10" spans="1:65" ht="60" customHeight="1" thickBot="1" x14ac:dyDescent="0.25">
      <c r="A10" s="541" t="str">
        <f>F!A140</f>
        <v>F25</v>
      </c>
      <c r="B10" s="791" t="str">
        <f>F!B140</f>
        <v>Fringe Wetland</v>
      </c>
      <c r="C10" s="555" t="str">
        <f>F!C140</f>
        <v>Open water that adjoins the vegetated wetland in a lake, stream, or river during annual low water condition is much wider than the vegetated wetland. Enter "1" if true, "0" if false.</v>
      </c>
      <c r="D10" s="1107">
        <f>F!D140</f>
        <v>0</v>
      </c>
      <c r="E10" s="1108"/>
      <c r="F10" s="1108"/>
      <c r="G10" s="811" t="str">
        <f>IF((Algae21=1),"",IF((D10=1),1,""))</f>
        <v/>
      </c>
      <c r="H10" s="769" t="s">
        <v>771</v>
      </c>
      <c r="I10" s="769" t="s">
        <v>2057</v>
      </c>
    </row>
    <row r="11" spans="1:65" ht="60" customHeight="1" thickBot="1" x14ac:dyDescent="0.25">
      <c r="A11" s="1384" t="str">
        <f>F!A141</f>
        <v>F26</v>
      </c>
      <c r="B11" s="1362" t="str">
        <f>F!B141</f>
        <v>Lacustrine Wetland</v>
      </c>
      <c r="C11" s="406" t="str">
        <f>F!C141</f>
        <v>The AA borders a body of ponded open water whose size -- not counting the vegetated AA -- exceeds 8 hectares (about 300 x 300 m) during most of the growing season.  Enter "1" if true, "0" if false.</v>
      </c>
      <c r="D11" s="442">
        <f>F!D141</f>
        <v>0</v>
      </c>
      <c r="E11" s="89"/>
      <c r="F11" s="89"/>
      <c r="G11" s="1109" t="str">
        <f>IF((Algae21=1),"", IF((D11=1),1,""))</f>
        <v/>
      </c>
      <c r="H11" s="1378" t="s">
        <v>772</v>
      </c>
      <c r="I11" s="1378" t="s">
        <v>2058</v>
      </c>
    </row>
    <row r="12" spans="1:65" ht="39" thickBot="1" x14ac:dyDescent="0.25">
      <c r="A12" s="2036" t="str">
        <f>F!A173</f>
        <v>F33</v>
      </c>
      <c r="B12" s="1867" t="str">
        <f>F!B173</f>
        <v xml:space="preserve">% of Ponded Water That Is Open </v>
      </c>
      <c r="C12" s="769" t="str">
        <f>F!C173</f>
        <v>In ducks-eye aerial view, the percentage of the ponded water that is open (lacking emergent vegetation during most of the growing season, and unhidden by a forest or shrub canopy) is:</v>
      </c>
      <c r="D12" s="299"/>
      <c r="E12" s="105"/>
      <c r="F12" s="563"/>
      <c r="G12" s="811">
        <f>IF((AllSat1&gt;0),"", IF((NoPonded=1),"", IF((SmallAA=1),"", IF((Algae21=1),"", MAX(F13:F18)/MAX(E13:E18)))))</f>
        <v>0</v>
      </c>
      <c r="H12" s="2000" t="s">
        <v>1223</v>
      </c>
      <c r="I12" s="2000" t="s">
        <v>2059</v>
      </c>
    </row>
    <row r="13" spans="1:65" ht="27" customHeight="1" x14ac:dyDescent="0.2">
      <c r="A13" s="2035"/>
      <c r="B13" s="1911"/>
      <c r="C13" s="768" t="str">
        <f>F!C174</f>
        <v>None, or &lt;1% of the AA and largest pool occupies &lt;0.01 hectares.  Enter "1" and SKIP to F41 (Floating Algae &amp; Duckweed).</v>
      </c>
      <c r="D13" s="737">
        <f>F!D174</f>
        <v>0</v>
      </c>
      <c r="E13" s="812">
        <v>0</v>
      </c>
      <c r="F13" s="812">
        <f t="shared" ref="F13:F18" si="0">D13*E13</f>
        <v>0</v>
      </c>
      <c r="G13" s="884"/>
      <c r="H13" s="1989"/>
      <c r="I13" s="1989"/>
    </row>
    <row r="14" spans="1:65" ht="15" customHeight="1" x14ac:dyDescent="0.2">
      <c r="A14" s="2035"/>
      <c r="B14" s="1911"/>
      <c r="C14" s="813" t="str">
        <f>F!C175</f>
        <v>1-5% of the ponded water.  Enter "1" and SKIP to F41.</v>
      </c>
      <c r="D14" s="737">
        <f>F!D175</f>
        <v>0</v>
      </c>
      <c r="E14" s="812">
        <v>2</v>
      </c>
      <c r="F14" s="812">
        <f t="shared" si="0"/>
        <v>0</v>
      </c>
      <c r="G14" s="884"/>
      <c r="H14" s="1989"/>
      <c r="I14" s="1989"/>
    </row>
    <row r="15" spans="1:65" ht="15" customHeight="1" x14ac:dyDescent="0.2">
      <c r="A15" s="2035"/>
      <c r="B15" s="1911"/>
      <c r="C15" s="813" t="str">
        <f>F!C176</f>
        <v>5-30% of the ponded water.</v>
      </c>
      <c r="D15" s="737">
        <f>F!D176</f>
        <v>0</v>
      </c>
      <c r="E15" s="812">
        <v>3</v>
      </c>
      <c r="F15" s="812">
        <f t="shared" si="0"/>
        <v>0</v>
      </c>
      <c r="G15" s="884"/>
      <c r="H15" s="1989"/>
      <c r="I15" s="1989"/>
    </row>
    <row r="16" spans="1:65" ht="15" customHeight="1" x14ac:dyDescent="0.2">
      <c r="A16" s="2035"/>
      <c r="B16" s="1911"/>
      <c r="C16" s="813" t="str">
        <f>F!C177</f>
        <v>30-70% of the ponded water.</v>
      </c>
      <c r="D16" s="737">
        <f>F!D177</f>
        <v>0</v>
      </c>
      <c r="E16" s="812">
        <v>4</v>
      </c>
      <c r="F16" s="812">
        <f t="shared" si="0"/>
        <v>0</v>
      </c>
      <c r="G16" s="884"/>
      <c r="H16" s="1989"/>
      <c r="I16" s="1989"/>
    </row>
    <row r="17" spans="1:9" ht="15" customHeight="1" x14ac:dyDescent="0.2">
      <c r="A17" s="2035"/>
      <c r="B17" s="1911"/>
      <c r="C17" s="813" t="str">
        <f>F!C178</f>
        <v>70-99% of the ponded water.</v>
      </c>
      <c r="D17" s="737">
        <f>F!D178</f>
        <v>0</v>
      </c>
      <c r="E17" s="812">
        <v>4</v>
      </c>
      <c r="F17" s="812">
        <f t="shared" si="0"/>
        <v>0</v>
      </c>
      <c r="G17" s="884"/>
      <c r="H17" s="1989"/>
      <c r="I17" s="1989"/>
    </row>
    <row r="18" spans="1:9" ht="15" customHeight="1" thickBot="1" x14ac:dyDescent="0.25">
      <c r="A18" s="2037"/>
      <c r="B18" s="1978"/>
      <c r="C18" s="340" t="str">
        <f>F!C179</f>
        <v xml:space="preserve">100% of the ponded water. </v>
      </c>
      <c r="D18" s="81">
        <f>F!D179</f>
        <v>0</v>
      </c>
      <c r="E18" s="88">
        <v>4</v>
      </c>
      <c r="F18" s="88">
        <f t="shared" si="0"/>
        <v>0</v>
      </c>
      <c r="G18" s="559"/>
      <c r="H18" s="1990"/>
      <c r="I18" s="1990"/>
    </row>
    <row r="19" spans="1:9" ht="63.75" customHeight="1" thickBot="1" x14ac:dyDescent="0.25">
      <c r="A19" s="57" t="str">
        <f>F!A209</f>
        <v>F41</v>
      </c>
      <c r="B19" s="43" t="str">
        <f>F!B209</f>
        <v>Floating Algae &amp; Duckweed</v>
      </c>
      <c r="C19" s="562" t="str">
        <f>F!C209</f>
        <v>At some time of the year, mats of algae and/or duckweed cover &gt;50% of the AA's otherwise-unshaded water surface, or blanket &gt;50% of the underwater substrate.  If true, enter "1" in next column.  If untrue or unlikely, enter "0".</v>
      </c>
      <c r="D19" s="178">
        <f>F!D209</f>
        <v>0</v>
      </c>
      <c r="E19" s="198"/>
      <c r="F19" s="198"/>
      <c r="G19" s="358" t="str">
        <f>IF((AllSat1&gt;0),"", IF((NoPonded=1),"", IF((SmallAA=1),"", IF((D19=1),0,""))))</f>
        <v/>
      </c>
      <c r="H19" s="77" t="s">
        <v>773</v>
      </c>
      <c r="I19" s="77" t="s">
        <v>1224</v>
      </c>
    </row>
    <row r="20" spans="1:9" ht="45" customHeight="1" thickBot="1" x14ac:dyDescent="0.25">
      <c r="A20" s="2248" t="str">
        <f>F!A274</f>
        <v>F57</v>
      </c>
      <c r="B20" s="2016" t="str">
        <f>F!B274</f>
        <v>Visibility</v>
      </c>
      <c r="C20" s="1380" t="str">
        <f>F!C274</f>
        <v>From the best vantage point on public roads, public parking lots, public buildings, or well-defined public trails that intersect, adjoin, or are within 100 m of the wetland, some part of the AA is (select best case):</v>
      </c>
      <c r="D20" s="84"/>
      <c r="E20" s="127"/>
      <c r="F20" s="45"/>
      <c r="G20" s="229">
        <f>MAX(F21:F23)/MAX(E21:E23)</f>
        <v>0</v>
      </c>
      <c r="H20" s="2000" t="s">
        <v>250</v>
      </c>
      <c r="I20" s="1989" t="s">
        <v>256</v>
      </c>
    </row>
    <row r="21" spans="1:9" ht="15" customHeight="1" x14ac:dyDescent="0.2">
      <c r="A21" s="2050"/>
      <c r="B21" s="2113"/>
      <c r="C21" s="327" t="str">
        <f>F!C275</f>
        <v>easily visible.</v>
      </c>
      <c r="D21" s="40">
        <f>F!D275</f>
        <v>0</v>
      </c>
      <c r="E21" s="42">
        <v>0</v>
      </c>
      <c r="F21" s="42">
        <f>D21*E21</f>
        <v>0</v>
      </c>
      <c r="G21" s="202"/>
      <c r="H21" s="1989"/>
      <c r="I21" s="1989"/>
    </row>
    <row r="22" spans="1:9" ht="15" customHeight="1" x14ac:dyDescent="0.2">
      <c r="A22" s="2050"/>
      <c r="B22" s="2113"/>
      <c r="C22" s="342" t="str">
        <f>F!C276</f>
        <v>somewhat visible.</v>
      </c>
      <c r="D22" s="40">
        <f>F!D276</f>
        <v>0</v>
      </c>
      <c r="E22" s="42">
        <v>1</v>
      </c>
      <c r="F22" s="42">
        <f t="shared" ref="F22:F28" si="1">D22*E22</f>
        <v>0</v>
      </c>
      <c r="G22" s="257"/>
      <c r="H22" s="1989"/>
      <c r="I22" s="1989"/>
    </row>
    <row r="23" spans="1:9" ht="15" customHeight="1" thickBot="1" x14ac:dyDescent="0.25">
      <c r="A23" s="2051"/>
      <c r="B23" s="2251"/>
      <c r="C23" s="339" t="str">
        <f>F!C277</f>
        <v>barely or not visible.</v>
      </c>
      <c r="D23" s="22">
        <f>F!D277</f>
        <v>0</v>
      </c>
      <c r="E23" s="41">
        <v>2</v>
      </c>
      <c r="F23" s="41">
        <f t="shared" si="1"/>
        <v>0</v>
      </c>
      <c r="G23" s="433"/>
      <c r="H23" s="1990"/>
      <c r="I23" s="1990"/>
    </row>
    <row r="24" spans="1:9" ht="21" customHeight="1" thickBot="1" x14ac:dyDescent="0.25">
      <c r="A24" s="2000" t="str">
        <f>F!A278</f>
        <v>F58</v>
      </c>
      <c r="B24" s="2000" t="str">
        <f>F!B278</f>
        <v>Ownership</v>
      </c>
      <c r="C24" s="77" t="str">
        <f>F!C278</f>
        <v>Most of the AA is (select one):</v>
      </c>
      <c r="D24" s="565"/>
      <c r="E24" s="563"/>
      <c r="F24" s="563"/>
      <c r="G24" s="358">
        <f>MAX(F25:F28)/MAX(E25:E28)</f>
        <v>0</v>
      </c>
      <c r="H24" s="2000" t="s">
        <v>246</v>
      </c>
      <c r="I24" s="2000" t="s">
        <v>913</v>
      </c>
    </row>
    <row r="25" spans="1:9" ht="38.25" x14ac:dyDescent="0.2">
      <c r="A25" s="1989"/>
      <c r="B25" s="1989"/>
      <c r="C25" s="406" t="str">
        <f>F!C279</f>
        <v>Publicly owned conservation lands that exclude new timber harvest, roads, mineral extraction, and intensive summer recreation (e.g., off-road vehicles).  Includes most Protected Lands.</v>
      </c>
      <c r="D25" s="356">
        <f>F!D279</f>
        <v>0</v>
      </c>
      <c r="E25" s="564">
        <v>4</v>
      </c>
      <c r="F25" s="564">
        <f t="shared" si="1"/>
        <v>0</v>
      </c>
      <c r="G25" s="257"/>
      <c r="H25" s="1989"/>
      <c r="I25" s="1989"/>
    </row>
    <row r="26" spans="1:9" ht="27" customHeight="1" x14ac:dyDescent="0.2">
      <c r="A26" s="1989"/>
      <c r="B26" s="1989"/>
      <c r="C26" s="339" t="str">
        <f>F!C280</f>
        <v>Publicly owned resource use lands (allowed activities such as timber harvest, mining, or intensive recreation), or unknown.  Includes most Crown Reservations/Notations.</v>
      </c>
      <c r="D26" s="359">
        <f>F!D280</f>
        <v>0</v>
      </c>
      <c r="E26" s="564">
        <v>3</v>
      </c>
      <c r="F26" s="564">
        <f t="shared" si="1"/>
        <v>0</v>
      </c>
      <c r="G26" s="257"/>
      <c r="H26" s="1989"/>
      <c r="I26" s="1989"/>
    </row>
    <row r="27" spans="1:9" ht="15" customHeight="1" x14ac:dyDescent="0.2">
      <c r="A27" s="1989"/>
      <c r="B27" s="1989"/>
      <c r="C27" s="339" t="str">
        <f>F!C281</f>
        <v>Private owner who allows public access.</v>
      </c>
      <c r="D27" s="359">
        <f>F!D281</f>
        <v>0</v>
      </c>
      <c r="E27" s="564">
        <v>2</v>
      </c>
      <c r="F27" s="564">
        <f t="shared" si="1"/>
        <v>0</v>
      </c>
      <c r="G27" s="257"/>
      <c r="H27" s="1989"/>
      <c r="I27" s="1989"/>
    </row>
    <row r="28" spans="1:9" ht="15" customHeight="1" thickBot="1" x14ac:dyDescent="0.25">
      <c r="A28" s="1990"/>
      <c r="B28" s="1990"/>
      <c r="C28" s="340" t="str">
        <f>F!C282</f>
        <v>Private owner who does not allow access, or access permission unknown.</v>
      </c>
      <c r="D28" s="81">
        <f>F!D282</f>
        <v>0</v>
      </c>
      <c r="E28" s="88">
        <v>1</v>
      </c>
      <c r="F28" s="88">
        <f t="shared" si="1"/>
        <v>0</v>
      </c>
      <c r="G28" s="258"/>
      <c r="H28" s="1990"/>
      <c r="I28" s="1990"/>
    </row>
    <row r="29" spans="1:9" ht="30" customHeight="1" thickBot="1" x14ac:dyDescent="0.25">
      <c r="A29" s="2036" t="str">
        <f>F!A283</f>
        <v>F59</v>
      </c>
      <c r="B29" s="2000" t="str">
        <f>F!B283</f>
        <v>Non-consumptive Uses - Actual or Potential</v>
      </c>
      <c r="C29" s="421" t="str">
        <f>F!C283</f>
        <v>Assuming access permission was granted, select ALL statements that are true of the AA as it currently exists:</v>
      </c>
      <c r="D29" s="86"/>
      <c r="E29" s="166"/>
      <c r="F29" s="87"/>
      <c r="G29" s="358">
        <f>SUM(D30:D33)/4</f>
        <v>0</v>
      </c>
      <c r="H29" s="2000" t="s">
        <v>777</v>
      </c>
      <c r="I29" s="2000" t="s">
        <v>475</v>
      </c>
    </row>
    <row r="30" spans="1:9" ht="31.5" customHeight="1" x14ac:dyDescent="0.2">
      <c r="A30" s="2035"/>
      <c r="B30" s="1989"/>
      <c r="C30" s="327" t="str">
        <f>F!C284</f>
        <v>For an average person, walking is physically possible in (not just near) &gt;5% of the AA during most of the growing season, e.g., free of deep water and dense shrub thickets.</v>
      </c>
      <c r="D30" s="443">
        <f>F!D284</f>
        <v>0</v>
      </c>
      <c r="E30" s="42">
        <v>1</v>
      </c>
      <c r="F30" s="42">
        <f>D30*E30</f>
        <v>0</v>
      </c>
      <c r="G30" s="202"/>
      <c r="H30" s="1989"/>
      <c r="I30" s="1989"/>
    </row>
    <row r="31" spans="1:9" ht="27" customHeight="1" x14ac:dyDescent="0.2">
      <c r="A31" s="2035"/>
      <c r="B31" s="1989"/>
      <c r="C31" s="339" t="str">
        <f>F!C285</f>
        <v>Maintained roads, parking areas, or foot-trails are within 10 m of the AA, or the AA can be accessed part of the year by boats arriving via contiguous waters.</v>
      </c>
      <c r="D31" s="22">
        <f>F!D285</f>
        <v>0</v>
      </c>
      <c r="E31" s="41">
        <v>1</v>
      </c>
      <c r="F31" s="42">
        <f>D31*E31</f>
        <v>0</v>
      </c>
      <c r="G31" s="257"/>
      <c r="H31" s="1989"/>
      <c r="I31" s="1989"/>
    </row>
    <row r="32" spans="1:9" ht="27" customHeight="1" x14ac:dyDescent="0.2">
      <c r="A32" s="2035"/>
      <c r="B32" s="1989"/>
      <c r="C32" s="339" t="str">
        <f>F!C286</f>
        <v xml:space="preserve">Within or near the AA, there is an interpretive center, trails with interpretive signs or brochures, and/or regular guided interpretive tours. </v>
      </c>
      <c r="D32" s="22">
        <f>F!D286</f>
        <v>0</v>
      </c>
      <c r="E32" s="41">
        <v>1</v>
      </c>
      <c r="F32" s="42">
        <f>D32*E32</f>
        <v>0</v>
      </c>
      <c r="G32" s="257"/>
      <c r="H32" s="1989"/>
      <c r="I32" s="1989"/>
    </row>
    <row r="33" spans="1:9" ht="27" customHeight="1" thickBot="1" x14ac:dyDescent="0.25">
      <c r="A33" s="2037"/>
      <c r="B33" s="1990"/>
      <c r="C33" s="340" t="str">
        <f>F!C287</f>
        <v>The AA contains or adjoins a public boat dock or ramp, or is within 1 km of a campground, picnic area, or winter sports park.</v>
      </c>
      <c r="D33" s="81">
        <f>F!D287</f>
        <v>0</v>
      </c>
      <c r="E33" s="88">
        <v>1</v>
      </c>
      <c r="F33" s="88">
        <f>D33*E33</f>
        <v>0</v>
      </c>
      <c r="G33" s="258"/>
      <c r="H33" s="1990"/>
      <c r="I33" s="1990"/>
    </row>
    <row r="34" spans="1:9" ht="69.75" customHeight="1" thickBot="1" x14ac:dyDescent="0.25">
      <c r="A34" s="2036" t="str">
        <f>F!A288</f>
        <v>F60</v>
      </c>
      <c r="B34" s="2000" t="str">
        <f>F!B288</f>
        <v xml:space="preserve">Unvisited Core Area </v>
      </c>
      <c r="C34" s="421" t="str">
        <f>F!C288</f>
        <v>The percentage of the AA almost never visited by humans during an average growing season probably comprises: [Note: Only include the part actually walked or driven (not simply viewed from) with a vehicle or boat. Do not include visitors on trails outside of the AA unless more than half the wetland is visible from the trails and they are within 30 m of the wetland edge. In that case include only the area occupied by the trail]</v>
      </c>
      <c r="D34" s="565"/>
      <c r="E34" s="563"/>
      <c r="F34" s="87"/>
      <c r="G34" s="358">
        <f>MAX(F35:F40)/MAX(E35:E40)</f>
        <v>0</v>
      </c>
      <c r="H34" s="2000" t="s">
        <v>263</v>
      </c>
      <c r="I34" s="2000" t="s">
        <v>914</v>
      </c>
    </row>
    <row r="35" spans="1:9" ht="15" customHeight="1" x14ac:dyDescent="0.2">
      <c r="A35" s="2035"/>
      <c r="B35" s="1989"/>
      <c r="C35" s="327" t="str">
        <f>F!C289</f>
        <v>&lt;5% and no inhabited building is within 100 m of the AA.</v>
      </c>
      <c r="D35" s="359">
        <f>F!D289</f>
        <v>0</v>
      </c>
      <c r="E35" s="564">
        <v>4</v>
      </c>
      <c r="F35" s="564">
        <f t="shared" ref="F35:F40" si="2">D35*E35</f>
        <v>0</v>
      </c>
      <c r="G35" s="202"/>
      <c r="H35" s="1989"/>
      <c r="I35" s="1989"/>
    </row>
    <row r="36" spans="1:9" ht="15" customHeight="1" x14ac:dyDescent="0.2">
      <c r="A36" s="2035"/>
      <c r="B36" s="1989"/>
      <c r="C36" s="342" t="str">
        <f>F!C290</f>
        <v>&lt;5% and inhabited building is within 100 m of the AA.</v>
      </c>
      <c r="D36" s="359">
        <f>F!D290</f>
        <v>0</v>
      </c>
      <c r="E36" s="564">
        <v>5</v>
      </c>
      <c r="F36" s="564">
        <f t="shared" si="2"/>
        <v>0</v>
      </c>
      <c r="G36" s="257"/>
      <c r="H36" s="1989"/>
      <c r="I36" s="1989"/>
    </row>
    <row r="37" spans="1:9" ht="15" customHeight="1" x14ac:dyDescent="0.2">
      <c r="A37" s="2035"/>
      <c r="B37" s="1989"/>
      <c r="C37" s="342" t="str">
        <f>F!C291</f>
        <v>5-50% and no inhabited building is within 100 m of the AA.</v>
      </c>
      <c r="D37" s="359">
        <f>F!D291</f>
        <v>0</v>
      </c>
      <c r="E37" s="564">
        <v>2</v>
      </c>
      <c r="F37" s="564">
        <f t="shared" si="2"/>
        <v>0</v>
      </c>
      <c r="G37" s="257"/>
      <c r="H37" s="1989"/>
      <c r="I37" s="1989"/>
    </row>
    <row r="38" spans="1:9" ht="15" customHeight="1" x14ac:dyDescent="0.2">
      <c r="A38" s="2035"/>
      <c r="B38" s="1989"/>
      <c r="C38" s="342" t="str">
        <f>F!C292</f>
        <v>5-50% and inhabited building is within 100 m of the AA.</v>
      </c>
      <c r="D38" s="359">
        <f>F!D292</f>
        <v>0</v>
      </c>
      <c r="E38" s="564">
        <v>3</v>
      </c>
      <c r="F38" s="564">
        <f t="shared" si="2"/>
        <v>0</v>
      </c>
      <c r="G38" s="257"/>
      <c r="H38" s="1989"/>
      <c r="I38" s="1989"/>
    </row>
    <row r="39" spans="1:9" ht="15" customHeight="1" x14ac:dyDescent="0.2">
      <c r="A39" s="2035"/>
      <c r="B39" s="1989"/>
      <c r="C39" s="342" t="str">
        <f>F!C293</f>
        <v>50-95%, with or without inhabited building nearby.</v>
      </c>
      <c r="D39" s="359">
        <f>F!D293</f>
        <v>0</v>
      </c>
      <c r="E39" s="564">
        <v>1</v>
      </c>
      <c r="F39" s="564">
        <f t="shared" si="2"/>
        <v>0</v>
      </c>
      <c r="G39" s="257"/>
      <c r="H39" s="1989"/>
      <c r="I39" s="1989"/>
    </row>
    <row r="40" spans="1:9" ht="15" customHeight="1" thickBot="1" x14ac:dyDescent="0.25">
      <c r="A40" s="2037"/>
      <c r="B40" s="1990"/>
      <c r="C40" s="340" t="str">
        <f>F!C294</f>
        <v>&gt;95% of the AA with or without inhabited building nearby.</v>
      </c>
      <c r="D40" s="81">
        <f>F!D294</f>
        <v>0</v>
      </c>
      <c r="E40" s="88">
        <v>0</v>
      </c>
      <c r="F40" s="88">
        <f t="shared" si="2"/>
        <v>0</v>
      </c>
      <c r="G40" s="258"/>
      <c r="H40" s="1990"/>
      <c r="I40" s="1990"/>
    </row>
    <row r="41" spans="1:9" ht="75" customHeight="1" thickBot="1" x14ac:dyDescent="0.25">
      <c r="A41" s="2035" t="str">
        <f>F!A295</f>
        <v>F61</v>
      </c>
      <c r="B41" s="1989" t="str">
        <f>F!B295</f>
        <v>Frequently Visited Area</v>
      </c>
      <c r="C41" s="1399" t="str">
        <f>F!C295</f>
        <v>The percentage of the AA visited by humans almost daily for several weeks during an average growing season probably comprises: [Note: Do not include visitors on trails outside of the AA unless more than half the wetland is visible from the trails and they are within 30 m of the wetland edge.  In that case, imagine the percentage of the AA that would be covered by the trail if it were placed within the AA.]</v>
      </c>
      <c r="D41" s="84"/>
      <c r="E41" s="127"/>
      <c r="F41" s="45"/>
      <c r="G41" s="229">
        <f>MAX(F42:F45)/MAX(E42:E45)</f>
        <v>0</v>
      </c>
      <c r="H41" s="2000" t="s">
        <v>264</v>
      </c>
      <c r="I41" s="1989" t="s">
        <v>75</v>
      </c>
    </row>
    <row r="42" spans="1:9" ht="15" customHeight="1" x14ac:dyDescent="0.2">
      <c r="A42" s="2035"/>
      <c r="B42" s="1989"/>
      <c r="C42" s="327" t="str">
        <f>F!C296</f>
        <v>&lt;5%.  If F62 was answered "&gt;95%", SKIP to F64 (Consumptive Uses).</v>
      </c>
      <c r="D42" s="40">
        <f>F!D296</f>
        <v>0</v>
      </c>
      <c r="E42" s="42">
        <v>0</v>
      </c>
      <c r="F42" s="42">
        <f>D42*E42</f>
        <v>0</v>
      </c>
      <c r="G42" s="202"/>
      <c r="H42" s="1989"/>
      <c r="I42" s="1989"/>
    </row>
    <row r="43" spans="1:9" ht="15" customHeight="1" x14ac:dyDescent="0.2">
      <c r="A43" s="2035"/>
      <c r="B43" s="1989"/>
      <c r="C43" s="342" t="str">
        <f>F!C297</f>
        <v>5-50%</v>
      </c>
      <c r="D43" s="40">
        <f>F!D297</f>
        <v>0</v>
      </c>
      <c r="E43" s="42">
        <v>1</v>
      </c>
      <c r="F43" s="42">
        <f>D43*E43</f>
        <v>0</v>
      </c>
      <c r="G43" s="257"/>
      <c r="H43" s="1989"/>
      <c r="I43" s="1989"/>
    </row>
    <row r="44" spans="1:9" ht="15" customHeight="1" x14ac:dyDescent="0.2">
      <c r="A44" s="2035"/>
      <c r="B44" s="1989"/>
      <c r="C44" s="342" t="str">
        <f>F!C298</f>
        <v>50-95%</v>
      </c>
      <c r="D44" s="40">
        <f>F!D298</f>
        <v>0</v>
      </c>
      <c r="E44" s="42">
        <v>2</v>
      </c>
      <c r="F44" s="42">
        <f>D44*E44</f>
        <v>0</v>
      </c>
      <c r="G44" s="257"/>
      <c r="H44" s="1989"/>
      <c r="I44" s="1989"/>
    </row>
    <row r="45" spans="1:9" ht="15" customHeight="1" thickBot="1" x14ac:dyDescent="0.25">
      <c r="A45" s="2035"/>
      <c r="B45" s="1989"/>
      <c r="C45" s="339" t="str">
        <f>F!C299</f>
        <v>&gt;95% of the AA.</v>
      </c>
      <c r="D45" s="356">
        <f>F!D299</f>
        <v>0</v>
      </c>
      <c r="E45" s="561">
        <v>3</v>
      </c>
      <c r="F45" s="561">
        <f>D45*E45</f>
        <v>0</v>
      </c>
      <c r="G45" s="433"/>
      <c r="H45" s="1990"/>
      <c r="I45" s="1989"/>
    </row>
    <row r="46" spans="1:9" ht="51.75" customHeight="1" thickBot="1" x14ac:dyDescent="0.25">
      <c r="A46" s="541" t="str">
        <f>F!A300</f>
        <v>F62</v>
      </c>
      <c r="B46" s="77" t="str">
        <f>F!B300</f>
        <v>BMP - Soils</v>
      </c>
      <c r="C46" s="555" t="str">
        <f>F!C300</f>
        <v>Boardwalks, paved trails, fences or other infrastructure and/or well-enforced regulations appear to effectively prevent visitors from walking on soils within nearly all of the AA when they are unfrozen.  Enter "1" if true.</v>
      </c>
      <c r="D46" s="116">
        <f>F!D300</f>
        <v>0</v>
      </c>
      <c r="E46" s="198"/>
      <c r="F46" s="198"/>
      <c r="G46" s="358">
        <f>IF((D40+D42&gt;1),"",D46)</f>
        <v>0</v>
      </c>
      <c r="H46" s="77" t="s">
        <v>489</v>
      </c>
      <c r="I46" s="43" t="s">
        <v>2060</v>
      </c>
    </row>
    <row r="47" spans="1:9" ht="60" customHeight="1" thickBot="1" x14ac:dyDescent="0.25">
      <c r="A47" s="1384" t="str">
        <f>F!A301</f>
        <v>F63</v>
      </c>
      <c r="B47" s="1378" t="str">
        <f>F!B301</f>
        <v>BMP - Wildlife Protection</v>
      </c>
      <c r="C47" s="406" t="str">
        <f>F!C301</f>
        <v xml:space="preserve">Fences, observation blinds, platforms, paved trails, exclusion periods, and/or well-enforced prohibitions on motorized boats, off-leash pets, and off road vehicles appear to effectively exclude or divert visitors and their pets from the AA at critical times in order to minimize disturbance of wildlife (except during hunting seasons).  Enter "1" if true. </v>
      </c>
      <c r="D47" s="442">
        <f>F!D301</f>
        <v>0</v>
      </c>
      <c r="E47" s="89"/>
      <c r="F47" s="89"/>
      <c r="G47" s="644">
        <f>IF((D40+D42&gt;1),"",D47)</f>
        <v>0</v>
      </c>
      <c r="H47" s="1378" t="s">
        <v>490</v>
      </c>
      <c r="I47" s="1362" t="s">
        <v>75</v>
      </c>
    </row>
    <row r="48" spans="1:9" ht="30" customHeight="1" thickBot="1" x14ac:dyDescent="0.25">
      <c r="A48" s="1992" t="str">
        <f>F!A302</f>
        <v>F64</v>
      </c>
      <c r="B48" s="2247" t="str">
        <f>F!B302</f>
        <v>Consumptive Uses (Provisioning Services)</v>
      </c>
      <c r="C48" s="352" t="str">
        <f>F!C302</f>
        <v>Recent evidence was found within the AA of the following potentially-sustainable consumptive uses.  Select all that apply.</v>
      </c>
      <c r="D48" s="299"/>
      <c r="E48" s="563"/>
      <c r="F48" s="563"/>
      <c r="G48" s="358">
        <f>IF((D56=1),0,1)</f>
        <v>1</v>
      </c>
      <c r="H48" s="2000" t="s">
        <v>770</v>
      </c>
      <c r="I48" s="1867" t="s">
        <v>1225</v>
      </c>
    </row>
    <row r="49" spans="1:9" ht="15" customHeight="1" x14ac:dyDescent="0.2">
      <c r="A49" s="1991"/>
      <c r="B49" s="2055"/>
      <c r="C49" s="552" t="str">
        <f>F!C303</f>
        <v>Low-impact commercial timber harvest (e.g., selective thinning).</v>
      </c>
      <c r="D49" s="354">
        <f>F!D303</f>
        <v>0</v>
      </c>
      <c r="E49" s="564"/>
      <c r="F49" s="564"/>
      <c r="G49" s="45"/>
      <c r="H49" s="1989"/>
      <c r="I49" s="1911"/>
    </row>
    <row r="50" spans="1:9" ht="25.5" x14ac:dyDescent="0.2">
      <c r="A50" s="1991"/>
      <c r="B50" s="2055"/>
      <c r="C50" s="576" t="str">
        <f>F!C304</f>
        <v>Extraction of surface water without noticeably affecting surface water area, depth, or persistence.</v>
      </c>
      <c r="D50" s="354">
        <f>F!D304</f>
        <v>0</v>
      </c>
      <c r="E50" s="564"/>
      <c r="F50" s="564"/>
      <c r="G50" s="298"/>
      <c r="H50" s="1989"/>
      <c r="I50" s="1911"/>
    </row>
    <row r="51" spans="1:9" ht="15" customHeight="1" x14ac:dyDescent="0.2">
      <c r="A51" s="1991"/>
      <c r="B51" s="2055"/>
      <c r="C51" s="576" t="str">
        <f>F!C305</f>
        <v>Grazing by livestock.</v>
      </c>
      <c r="D51" s="354">
        <f>F!D305</f>
        <v>0</v>
      </c>
      <c r="E51" s="564"/>
      <c r="F51" s="564"/>
      <c r="G51" s="298"/>
      <c r="H51" s="1989"/>
      <c r="I51" s="1911"/>
    </row>
    <row r="52" spans="1:9" ht="25.5" x14ac:dyDescent="0.2">
      <c r="A52" s="1991"/>
      <c r="B52" s="2055"/>
      <c r="C52" s="576" t="str">
        <f>F!C306</f>
        <v>Harvesting of native plants, native hay, or mushrooms (observed or known, not assumed).</v>
      </c>
      <c r="D52" s="354">
        <f>F!D306</f>
        <v>0</v>
      </c>
      <c r="E52" s="564"/>
      <c r="F52" s="564"/>
      <c r="G52" s="298"/>
      <c r="H52" s="1989"/>
      <c r="I52" s="1911"/>
    </row>
    <row r="53" spans="1:9" ht="15" customHeight="1" x14ac:dyDescent="0.2">
      <c r="A53" s="1991"/>
      <c r="B53" s="2055"/>
      <c r="C53" s="576" t="str">
        <f>F!C307</f>
        <v>Hunting (observed or known, not assumed).</v>
      </c>
      <c r="D53" s="354">
        <f>F!D307</f>
        <v>0</v>
      </c>
      <c r="E53" s="564"/>
      <c r="F53" s="564"/>
      <c r="G53" s="298"/>
      <c r="H53" s="1989"/>
      <c r="I53" s="1911"/>
    </row>
    <row r="54" spans="1:9" ht="15" customHeight="1" x14ac:dyDescent="0.2">
      <c r="A54" s="1991"/>
      <c r="B54" s="2055"/>
      <c r="C54" s="576" t="str">
        <f>F!C308</f>
        <v>Furbearer trapping.</v>
      </c>
      <c r="D54" s="354">
        <f>F!D308</f>
        <v>0</v>
      </c>
      <c r="E54" s="564"/>
      <c r="F54" s="564"/>
      <c r="G54" s="298"/>
      <c r="H54" s="1989"/>
      <c r="I54" s="1911"/>
    </row>
    <row r="55" spans="1:9" ht="15" customHeight="1" x14ac:dyDescent="0.2">
      <c r="A55" s="1991"/>
      <c r="B55" s="2055"/>
      <c r="C55" s="576" t="str">
        <f>F!C309</f>
        <v>Fishing (observed or known, not assumed).</v>
      </c>
      <c r="D55" s="354">
        <f>F!D309</f>
        <v>0</v>
      </c>
      <c r="E55" s="564"/>
      <c r="F55" s="564"/>
      <c r="G55" s="298"/>
      <c r="H55" s="1989"/>
      <c r="I55" s="1911"/>
    </row>
    <row r="56" spans="1:9" ht="15" customHeight="1" thickBot="1" x14ac:dyDescent="0.25">
      <c r="A56" s="1993"/>
      <c r="B56" s="2059"/>
      <c r="C56" s="445" t="str">
        <f>F!C310</f>
        <v>No evidence of any of the above.</v>
      </c>
      <c r="D56" s="94">
        <f>F!D310</f>
        <v>0</v>
      </c>
      <c r="E56" s="88"/>
      <c r="F56" s="88"/>
      <c r="G56" s="559"/>
      <c r="H56" s="1990"/>
      <c r="I56" s="1978"/>
    </row>
    <row r="57" spans="1:9" ht="21" customHeight="1" thickBot="1" x14ac:dyDescent="0.25">
      <c r="A57" s="2080" t="str">
        <f>F!A311</f>
        <v>F65</v>
      </c>
      <c r="B57" s="2080" t="str">
        <f>F!B311</f>
        <v>Domestic Wells</v>
      </c>
      <c r="C57" s="333" t="str">
        <f>F!C311</f>
        <v>The closest wells or water bodies that currently provide drinking water are:</v>
      </c>
      <c r="D57" s="299"/>
      <c r="E57" s="105"/>
      <c r="F57" s="105"/>
      <c r="G57" s="358">
        <f>MAX(F58:F60)/MAX(E58:E60)</f>
        <v>0</v>
      </c>
      <c r="H57" s="2000" t="s">
        <v>909</v>
      </c>
      <c r="I57" s="2000" t="s">
        <v>1226</v>
      </c>
    </row>
    <row r="58" spans="1:9" ht="15" customHeight="1" x14ac:dyDescent="0.2">
      <c r="A58" s="2081"/>
      <c r="B58" s="2081"/>
      <c r="C58" s="326" t="str">
        <f>F!C312</f>
        <v>Within 0-100 m of the AA</v>
      </c>
      <c r="D58" s="92">
        <f>F!D312</f>
        <v>0</v>
      </c>
      <c r="E58" s="41">
        <v>2</v>
      </c>
      <c r="F58" s="42">
        <f>D58*E58</f>
        <v>0</v>
      </c>
      <c r="G58" s="558"/>
      <c r="H58" s="1989"/>
      <c r="I58" s="1989"/>
    </row>
    <row r="59" spans="1:9" ht="15" customHeight="1" x14ac:dyDescent="0.2">
      <c r="A59" s="2081"/>
      <c r="B59" s="2081"/>
      <c r="C59" s="314" t="str">
        <f>F!C313</f>
        <v>100-500 m away</v>
      </c>
      <c r="D59" s="92">
        <f>F!D313</f>
        <v>0</v>
      </c>
      <c r="E59" s="41">
        <v>1</v>
      </c>
      <c r="F59" s="42">
        <f>D59*E59</f>
        <v>0</v>
      </c>
      <c r="G59" s="558"/>
      <c r="H59" s="1989"/>
      <c r="I59" s="1989"/>
    </row>
    <row r="60" spans="1:9" ht="15" customHeight="1" thickBot="1" x14ac:dyDescent="0.25">
      <c r="A60" s="2081"/>
      <c r="B60" s="2081"/>
      <c r="C60" s="882" t="str">
        <f>F!C314</f>
        <v>&gt;500 m away, or no information</v>
      </c>
      <c r="D60" s="434">
        <f>F!D314</f>
        <v>0</v>
      </c>
      <c r="E60" s="561">
        <v>0</v>
      </c>
      <c r="F60" s="561">
        <f>D60*E60</f>
        <v>0</v>
      </c>
      <c r="G60" s="883"/>
      <c r="H60" s="1989"/>
      <c r="I60" s="1989"/>
    </row>
    <row r="61" spans="1:9" ht="21" customHeight="1" thickBot="1" x14ac:dyDescent="0.25">
      <c r="A61" s="1992" t="str">
        <f>F!A319</f>
        <v>F67</v>
      </c>
      <c r="B61" s="1867" t="str">
        <f>F!B319</f>
        <v>Prior Investment in the Wetland</v>
      </c>
      <c r="C61" s="352" t="str">
        <f>F!C319</f>
        <v>Mark ALL of the following that apply to this AA:</v>
      </c>
      <c r="D61" s="881"/>
      <c r="E61" s="563"/>
      <c r="F61" s="563"/>
      <c r="G61" s="358">
        <f>SUM(D62:D64)/3</f>
        <v>0</v>
      </c>
      <c r="H61" s="2000" t="s">
        <v>774</v>
      </c>
      <c r="I61" s="1867" t="s">
        <v>1227</v>
      </c>
    </row>
    <row r="62" spans="1:9" ht="27" customHeight="1" x14ac:dyDescent="0.2">
      <c r="A62" s="1991"/>
      <c r="B62" s="1911"/>
      <c r="C62" s="934" t="str">
        <f>F!C320</f>
        <v>Regulatory Investment: The AA is all or part of a mitigation or replacement site used explicitly to offset impacts elsewhere.</v>
      </c>
      <c r="D62" s="733">
        <f>F!D320</f>
        <v>0</v>
      </c>
      <c r="E62" s="812"/>
      <c r="F62" s="812"/>
      <c r="G62" s="884"/>
      <c r="H62" s="1989"/>
      <c r="I62" s="1911"/>
    </row>
    <row r="63" spans="1:9" ht="42" customHeight="1" x14ac:dyDescent="0.2">
      <c r="A63" s="1991"/>
      <c r="B63" s="1911"/>
      <c r="C63" s="935" t="str">
        <f>F!C321</f>
        <v>Non-regulatory Investment: The AA is part of or contiguous to a wetland on which public or private organizational funds were spent to preserve, create, restore, enhance, the wetland (excluding mitigation wetlands).</v>
      </c>
      <c r="D63" s="733">
        <f>F!D321</f>
        <v>0</v>
      </c>
      <c r="E63" s="812"/>
      <c r="F63" s="812"/>
      <c r="G63" s="884"/>
      <c r="H63" s="1989"/>
      <c r="I63" s="1911"/>
    </row>
    <row r="64" spans="1:9" ht="54" customHeight="1" x14ac:dyDescent="0.2">
      <c r="A64" s="1991"/>
      <c r="B64" s="1911"/>
      <c r="C64" s="935" t="str">
        <f>F!C322</f>
        <v>Sustained Scientific Use: Plants, animals, or water in the AA have been monitored for &gt;2 years, unrelated to any regulatory requirements, and data are available to the public.  Or the AA is part of an area that has been designated by an agency or institution as a benchmark, reference, or status-trends monitoring area.</v>
      </c>
      <c r="D64" s="733">
        <f>F!D322</f>
        <v>0</v>
      </c>
      <c r="E64" s="812"/>
      <c r="F64" s="812"/>
      <c r="G64" s="884"/>
      <c r="H64" s="1989"/>
      <c r="I64" s="1911"/>
    </row>
    <row r="65" spans="1:10" ht="15" customHeight="1" thickBot="1" x14ac:dyDescent="0.25">
      <c r="A65" s="1993"/>
      <c r="B65" s="1978"/>
      <c r="C65" s="445" t="str">
        <f>F!C323</f>
        <v>None of the above, or no information for any.</v>
      </c>
      <c r="D65" s="94">
        <f>F!D323</f>
        <v>0</v>
      </c>
      <c r="E65" s="88"/>
      <c r="F65" s="88"/>
      <c r="G65" s="559"/>
      <c r="H65" s="1990"/>
      <c r="I65" s="1978"/>
    </row>
    <row r="66" spans="1:10" ht="21" customHeight="1" thickBot="1" x14ac:dyDescent="0.25">
      <c r="A66" s="940"/>
      <c r="B66" s="940"/>
      <c r="D66" s="940"/>
      <c r="E66" s="940"/>
      <c r="F66" s="940"/>
      <c r="G66" s="940"/>
      <c r="H66" s="940"/>
      <c r="I66" s="940"/>
    </row>
    <row r="67" spans="1:10" s="5" customFormat="1" ht="21" customHeight="1" thickBot="1" x14ac:dyDescent="0.25">
      <c r="C67" s="391" t="s">
        <v>823</v>
      </c>
      <c r="D67" s="1027"/>
      <c r="E67" s="1027"/>
      <c r="F67" s="1027"/>
      <c r="G67" s="1027"/>
      <c r="H67" s="940"/>
      <c r="I67" s="940"/>
    </row>
    <row r="68" spans="1:10" s="5" customFormat="1" ht="21" customHeight="1" thickBot="1" x14ac:dyDescent="0.25">
      <c r="C68" s="78" t="s">
        <v>2490</v>
      </c>
      <c r="D68" s="507"/>
      <c r="E68" s="507"/>
      <c r="F68" s="507"/>
      <c r="G68" s="285">
        <f>IFERROR(AVERAGE(1-Dist2Road, RdDens1k, 1-DistPop, Reserve),"")</f>
        <v>1</v>
      </c>
      <c r="H68" s="940"/>
      <c r="I68" s="940"/>
      <c r="J68" s="110"/>
    </row>
    <row r="69" spans="1:10" s="5" customFormat="1" ht="21" customHeight="1" thickBot="1" x14ac:dyDescent="0.25">
      <c r="C69" s="25"/>
      <c r="D69" s="827"/>
      <c r="E69" s="827"/>
      <c r="F69" s="827"/>
      <c r="G69" s="827"/>
      <c r="H69" s="940"/>
      <c r="I69" s="940"/>
    </row>
    <row r="70" spans="1:10" s="5" customFormat="1" ht="21" customHeight="1" thickBot="1" x14ac:dyDescent="0.25">
      <c r="C70" s="391" t="s">
        <v>910</v>
      </c>
      <c r="D70" s="1027"/>
      <c r="E70" s="1027"/>
      <c r="F70" s="1027"/>
      <c r="G70" s="1027"/>
      <c r="H70" s="940"/>
      <c r="I70" s="940"/>
    </row>
    <row r="71" spans="1:10" s="5" customFormat="1" ht="30" customHeight="1" thickBot="1" x14ac:dyDescent="0.25">
      <c r="C71" s="566" t="s">
        <v>1125</v>
      </c>
      <c r="D71" s="507"/>
      <c r="E71" s="507"/>
      <c r="F71" s="507"/>
      <c r="G71" s="285">
        <f>IFERROR(AVERAGE(Provis21, Visibility, Core1PU, Core2PU, RecreaPoten, BMPsoilsPU, BMPwildPU, Wells21),"")</f>
        <v>0.125</v>
      </c>
      <c r="H71" s="940"/>
      <c r="I71" s="940"/>
    </row>
    <row r="72" spans="1:10" s="6" customFormat="1" ht="21" customHeight="1" thickBot="1" x14ac:dyDescent="0.25">
      <c r="A72" s="5"/>
      <c r="B72" s="5"/>
      <c r="C72" s="135"/>
      <c r="D72" s="617"/>
      <c r="E72" s="617"/>
      <c r="F72" s="617"/>
      <c r="G72" s="617"/>
      <c r="H72" s="940"/>
      <c r="I72" s="940"/>
    </row>
    <row r="73" spans="1:10" s="5" customFormat="1" ht="21" customHeight="1" thickBot="1" x14ac:dyDescent="0.25">
      <c r="C73" s="391" t="s">
        <v>776</v>
      </c>
      <c r="D73" s="618"/>
      <c r="E73" s="618"/>
      <c r="F73" s="618"/>
      <c r="G73" s="618"/>
      <c r="H73" s="940"/>
      <c r="I73" s="940"/>
    </row>
    <row r="74" spans="1:10" s="5" customFormat="1" ht="26.25" thickBot="1" x14ac:dyDescent="0.25">
      <c r="A74" s="1589"/>
      <c r="B74" s="1589"/>
      <c r="C74" s="1270" t="s">
        <v>2489</v>
      </c>
      <c r="D74" s="1264"/>
      <c r="E74" s="1264"/>
      <c r="F74" s="1708"/>
      <c r="G74" s="285">
        <f>IFERROR(IF((Algae21=1),0, AVERAGE(WetArea, OWarea, Fringe21, Lake21, PondedOWpct21)),"")</f>
        <v>0</v>
      </c>
      <c r="H74" s="940"/>
      <c r="I74" s="1589"/>
    </row>
    <row r="75" spans="1:10" s="5" customFormat="1" ht="21" customHeight="1" x14ac:dyDescent="0.2">
      <c r="A75" s="1589"/>
      <c r="B75" s="1589"/>
      <c r="C75" s="1589"/>
      <c r="D75" s="1589"/>
      <c r="E75" s="1589"/>
      <c r="F75" s="1589"/>
      <c r="G75" s="1589"/>
      <c r="H75" s="940"/>
      <c r="I75" s="1589"/>
    </row>
    <row r="76" spans="1:10" s="6" customFormat="1" ht="21" customHeight="1" thickBot="1" x14ac:dyDescent="0.25">
      <c r="A76" s="1548"/>
      <c r="B76" s="1548"/>
      <c r="C76" s="135"/>
      <c r="D76" s="1589"/>
      <c r="E76" s="1589"/>
      <c r="F76" s="1589"/>
      <c r="G76" s="1589"/>
      <c r="H76" s="1589"/>
      <c r="I76" s="940"/>
    </row>
    <row r="77" spans="1:10" s="5" customFormat="1" ht="21" customHeight="1" thickBot="1" x14ac:dyDescent="0.25">
      <c r="A77" s="1548"/>
      <c r="B77" s="1548"/>
      <c r="C77" s="639" t="s">
        <v>847</v>
      </c>
      <c r="D77" s="1262"/>
      <c r="E77" s="1262"/>
      <c r="F77" s="1262"/>
      <c r="G77" s="1262"/>
      <c r="H77" s="940"/>
      <c r="I77" s="940"/>
    </row>
    <row r="78" spans="1:10" s="5" customFormat="1" ht="21" customHeight="1" thickBot="1" x14ac:dyDescent="0.25">
      <c r="A78" s="1548"/>
      <c r="B78" s="1548"/>
      <c r="C78" s="417" t="s">
        <v>775</v>
      </c>
      <c r="D78" s="618"/>
      <c r="E78" s="618"/>
      <c r="F78" s="618"/>
      <c r="G78" s="618"/>
      <c r="H78" s="940"/>
      <c r="I78" s="940"/>
    </row>
    <row r="79" spans="1:10" s="5" customFormat="1" ht="21" customHeight="1" thickBot="1" x14ac:dyDescent="0.25">
      <c r="A79" s="1548"/>
      <c r="B79" s="1548"/>
      <c r="C79" s="78" t="s">
        <v>1126</v>
      </c>
      <c r="D79" s="507"/>
      <c r="E79" s="507"/>
      <c r="F79" s="507"/>
      <c r="G79" s="582">
        <f>10*AVERAGE(Ownership, Invest21, Access1a, Use1a, Wet1a)</f>
        <v>2.25</v>
      </c>
      <c r="H79" s="940"/>
      <c r="I79" s="940"/>
    </row>
    <row r="80" spans="1:10" ht="21" customHeight="1" x14ac:dyDescent="0.2">
      <c r="A80" s="1548"/>
      <c r="B80" s="1548"/>
      <c r="C80" s="827"/>
      <c r="D80" s="827"/>
      <c r="E80" s="940"/>
      <c r="F80" s="940"/>
      <c r="G80" s="940"/>
      <c r="H80" s="940"/>
      <c r="I80" s="940"/>
    </row>
    <row r="81" spans="1:9" ht="21" customHeight="1" x14ac:dyDescent="0.2">
      <c r="A81" s="1709"/>
      <c r="B81" s="1709"/>
      <c r="C81" s="1496"/>
      <c r="D81" s="1463"/>
      <c r="E81" s="940"/>
      <c r="F81" s="940"/>
      <c r="G81" s="940"/>
      <c r="H81" s="940"/>
      <c r="I81" s="940"/>
    </row>
    <row r="82" spans="1:9" s="124" customFormat="1" ht="21" customHeight="1" x14ac:dyDescent="0.2">
      <c r="A82" s="1627"/>
      <c r="B82" s="1466"/>
      <c r="C82" s="1498"/>
      <c r="D82" s="1463"/>
      <c r="E82" s="940"/>
      <c r="F82" s="940"/>
      <c r="G82" s="940"/>
      <c r="H82" s="940"/>
      <c r="I82" s="940"/>
    </row>
    <row r="83" spans="1:9" s="124" customFormat="1" ht="21" customHeight="1" x14ac:dyDescent="0.2">
      <c r="A83" s="1627"/>
      <c r="B83" s="1552"/>
      <c r="C83" s="1498"/>
      <c r="D83" s="1468"/>
      <c r="E83" s="940"/>
      <c r="F83" s="940"/>
      <c r="G83" s="940"/>
      <c r="H83" s="940"/>
      <c r="I83" s="940"/>
    </row>
    <row r="84" spans="1:9" s="124" customFormat="1" ht="21" customHeight="1" x14ac:dyDescent="0.2">
      <c r="A84" s="1627"/>
      <c r="B84" s="1552"/>
      <c r="C84" s="1498"/>
      <c r="D84" s="1468"/>
      <c r="E84" s="940"/>
      <c r="F84" s="940"/>
      <c r="G84" s="940"/>
      <c r="H84" s="940"/>
      <c r="I84" s="940"/>
    </row>
    <row r="85" spans="1:9" s="124" customFormat="1" ht="21" customHeight="1" x14ac:dyDescent="0.2">
      <c r="A85" s="1627"/>
      <c r="B85" s="1552"/>
      <c r="C85" s="1498"/>
      <c r="D85" s="1468"/>
      <c r="E85" s="940"/>
      <c r="F85" s="940"/>
      <c r="G85" s="940"/>
      <c r="H85" s="940"/>
      <c r="I85" s="940"/>
    </row>
    <row r="86" spans="1:9" s="124" customFormat="1" ht="21" customHeight="1" x14ac:dyDescent="0.2">
      <c r="A86" s="1627"/>
      <c r="B86" s="1552"/>
      <c r="C86" s="1498"/>
      <c r="D86" s="1468"/>
      <c r="E86" s="940"/>
      <c r="F86" s="940"/>
      <c r="G86" s="940"/>
      <c r="H86" s="940"/>
      <c r="I86" s="940"/>
    </row>
    <row r="87" spans="1:9" ht="21" customHeight="1" x14ac:dyDescent="0.2">
      <c r="A87" s="1627"/>
      <c r="B87" s="1710"/>
      <c r="C87" s="412"/>
      <c r="D87" s="1711"/>
      <c r="E87" s="940"/>
      <c r="F87" s="940"/>
      <c r="G87" s="940"/>
      <c r="H87" s="940"/>
      <c r="I87" s="940"/>
    </row>
    <row r="88" spans="1:9" ht="21" customHeight="1" x14ac:dyDescent="0.2">
      <c r="A88" s="1627"/>
      <c r="B88" s="1712"/>
      <c r="C88" s="1496"/>
      <c r="D88" s="1711"/>
      <c r="E88" s="940"/>
      <c r="F88" s="940"/>
      <c r="G88" s="940"/>
      <c r="H88" s="940"/>
      <c r="I88" s="940"/>
    </row>
    <row r="89" spans="1:9" ht="21" customHeight="1" x14ac:dyDescent="0.2">
      <c r="A89" s="1627"/>
      <c r="B89" s="1466"/>
      <c r="C89" s="1498"/>
      <c r="D89" s="1711"/>
      <c r="E89" s="940"/>
      <c r="F89" s="940"/>
      <c r="G89" s="940"/>
      <c r="H89" s="940"/>
      <c r="I89" s="940"/>
    </row>
    <row r="90" spans="1:9" ht="21" customHeight="1" x14ac:dyDescent="0.2">
      <c r="A90" s="1627"/>
      <c r="B90" s="1552"/>
      <c r="C90" s="1498"/>
      <c r="D90" s="1468"/>
      <c r="E90" s="940"/>
      <c r="F90" s="940"/>
      <c r="G90" s="940"/>
      <c r="H90" s="940"/>
      <c r="I90" s="940"/>
    </row>
    <row r="91" spans="1:9" ht="21" customHeight="1" x14ac:dyDescent="0.2">
      <c r="A91" s="1627"/>
      <c r="B91" s="1552"/>
      <c r="C91" s="1498"/>
      <c r="D91" s="1468"/>
      <c r="E91" s="940"/>
      <c r="F91" s="940"/>
      <c r="G91" s="940"/>
      <c r="H91" s="940"/>
      <c r="I91" s="940"/>
    </row>
    <row r="92" spans="1:9" ht="21" customHeight="1" x14ac:dyDescent="0.2">
      <c r="A92" s="1627"/>
      <c r="B92" s="1552"/>
      <c r="C92" s="1498"/>
      <c r="D92" s="1468"/>
      <c r="E92" s="940"/>
      <c r="F92" s="940"/>
      <c r="G92" s="940"/>
      <c r="H92" s="940"/>
      <c r="I92" s="940"/>
    </row>
    <row r="93" spans="1:9" ht="21" customHeight="1" x14ac:dyDescent="0.2">
      <c r="A93" s="1713"/>
      <c r="B93" s="1552"/>
      <c r="C93" s="1498"/>
      <c r="D93" s="1468"/>
      <c r="E93" s="940"/>
      <c r="F93" s="940"/>
      <c r="G93" s="940"/>
      <c r="H93" s="940"/>
      <c r="I93" s="940"/>
    </row>
  </sheetData>
  <sheetProtection password="C4B9" sheet="1" objects="1" scenarios="1"/>
  <sortState ref="A3:BO13">
    <sortCondition ref="H3:H13"/>
  </sortState>
  <customSheetViews>
    <customSheetView guid="{B8E02330-2419-4DE6-AD01-7ACC7A5D18DD}" scale="75">
      <pageMargins left="0.75" right="0.75" top="1" bottom="1" header="0.5" footer="0.5"/>
      <pageSetup orientation="portrait" r:id="rId1"/>
      <headerFooter alignWithMargins="0"/>
    </customSheetView>
  </customSheetViews>
  <mergeCells count="38">
    <mergeCell ref="B61:B65"/>
    <mergeCell ref="H48:H56"/>
    <mergeCell ref="H41:H45"/>
    <mergeCell ref="H34:H40"/>
    <mergeCell ref="I57:I60"/>
    <mergeCell ref="I61:I65"/>
    <mergeCell ref="A20:A23"/>
    <mergeCell ref="A48:A56"/>
    <mergeCell ref="A1:B1"/>
    <mergeCell ref="I12:I18"/>
    <mergeCell ref="B12:B18"/>
    <mergeCell ref="A12:A18"/>
    <mergeCell ref="A24:A28"/>
    <mergeCell ref="I20:I23"/>
    <mergeCell ref="I24:I28"/>
    <mergeCell ref="B20:B23"/>
    <mergeCell ref="H24:H28"/>
    <mergeCell ref="H20:H23"/>
    <mergeCell ref="A41:A45"/>
    <mergeCell ref="H12:H18"/>
    <mergeCell ref="E1:I1"/>
    <mergeCell ref="B24:B28"/>
    <mergeCell ref="A61:A65"/>
    <mergeCell ref="I29:I33"/>
    <mergeCell ref="B34:B40"/>
    <mergeCell ref="I34:I40"/>
    <mergeCell ref="B29:B33"/>
    <mergeCell ref="A29:A33"/>
    <mergeCell ref="A34:A40"/>
    <mergeCell ref="I48:I56"/>
    <mergeCell ref="I41:I45"/>
    <mergeCell ref="B41:B45"/>
    <mergeCell ref="B57:B60"/>
    <mergeCell ref="A57:A60"/>
    <mergeCell ref="H29:H33"/>
    <mergeCell ref="B48:B56"/>
    <mergeCell ref="H61:H65"/>
    <mergeCell ref="H57:H60"/>
  </mergeCells>
  <phoneticPr fontId="12" type="noConversion"/>
  <conditionalFormatting sqref="D12:D15 D17:D22 D24 D26:D35 D37:D44 D46:D56 D61:D65">
    <cfRule type="cellIs" dxfId="2" priority="1" operator="greaterThan">
      <formula>0</formula>
    </cfRule>
  </conditionalFormatting>
  <pageMargins left="0.75" right="0.75" top="1" bottom="1" header="0.5" footer="0.5"/>
  <pageSetup orientation="portrait"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2" tint="-0.499984740745262"/>
  </sheetPr>
  <dimension ref="A1:AH45"/>
  <sheetViews>
    <sheetView zoomScaleNormal="100" workbookViewId="0">
      <selection activeCell="B1" sqref="B1:K1"/>
    </sheetView>
  </sheetViews>
  <sheetFormatPr defaultColWidth="5.83203125" defaultRowHeight="12.75" x14ac:dyDescent="0.2"/>
  <cols>
    <col min="1" max="1" width="66.83203125" style="9" customWidth="1"/>
    <col min="2" max="2" width="22.1640625" style="46" customWidth="1"/>
    <col min="3" max="3" width="15.1640625" style="46" customWidth="1"/>
    <col min="4" max="4" width="17.33203125" style="46" customWidth="1"/>
    <col min="5" max="5" width="19.33203125" style="51" customWidth="1"/>
    <col min="6" max="6" width="17.83203125" style="51" customWidth="1"/>
    <col min="7" max="7" width="10.1640625" style="51" customWidth="1"/>
    <col min="8" max="8" width="11.33203125" style="51" customWidth="1"/>
    <col min="9" max="9" width="12.5" style="51" customWidth="1"/>
    <col min="10" max="10" width="12.33203125" style="9" customWidth="1"/>
    <col min="11" max="11" width="12.6640625" style="9" customWidth="1"/>
    <col min="12" max="12" width="11.5" style="9" bestFit="1" customWidth="1"/>
    <col min="13" max="13" width="9.83203125" style="9" bestFit="1" customWidth="1"/>
    <col min="14" max="14" width="8.5" style="9" bestFit="1" customWidth="1"/>
    <col min="15" max="15" width="9.83203125" style="9" bestFit="1" customWidth="1"/>
    <col min="16" max="16" width="8.5" style="9" bestFit="1" customWidth="1"/>
    <col min="17" max="17" width="12.1640625" style="9" bestFit="1" customWidth="1"/>
    <col min="18" max="18" width="11.5" style="9" bestFit="1" customWidth="1"/>
    <col min="19" max="16384" width="5.83203125" style="9"/>
  </cols>
  <sheetData>
    <row r="1" spans="1:26" ht="21.75" customHeight="1" x14ac:dyDescent="0.2">
      <c r="A1" s="692"/>
      <c r="B1" s="2256"/>
      <c r="C1" s="2256"/>
      <c r="D1" s="2256"/>
      <c r="E1" s="2256"/>
      <c r="F1" s="2256"/>
      <c r="G1" s="2256"/>
      <c r="H1" s="2256"/>
      <c r="I1" s="2256"/>
      <c r="J1" s="2256"/>
      <c r="K1" s="2256"/>
    </row>
    <row r="2" spans="1:26" ht="20.25" customHeight="1" x14ac:dyDescent="0.2">
      <c r="A2" s="692"/>
      <c r="B2" s="2256"/>
      <c r="C2" s="2256"/>
      <c r="D2" s="2256"/>
      <c r="E2" s="2256"/>
      <c r="F2" s="2256"/>
      <c r="G2" s="2256"/>
      <c r="H2" s="2256"/>
      <c r="I2" s="2256"/>
      <c r="J2" s="2256"/>
      <c r="K2" s="2256"/>
    </row>
    <row r="3" spans="1:26" ht="19.5" customHeight="1" x14ac:dyDescent="0.2">
      <c r="A3" s="692"/>
      <c r="B3" s="2256"/>
      <c r="C3" s="2256"/>
      <c r="D3" s="2256"/>
      <c r="E3" s="2256"/>
      <c r="F3" s="2256"/>
      <c r="G3" s="2256"/>
      <c r="H3" s="2256"/>
      <c r="I3" s="2256"/>
      <c r="J3" s="2256"/>
      <c r="K3" s="2256"/>
    </row>
    <row r="4" spans="1:26" ht="19.5" customHeight="1" x14ac:dyDescent="0.2">
      <c r="A4" s="692"/>
      <c r="B4" s="2256"/>
      <c r="C4" s="2256"/>
      <c r="D4" s="2256"/>
      <c r="E4" s="2256"/>
      <c r="F4" s="2256"/>
      <c r="G4" s="2256"/>
      <c r="H4" s="2256"/>
      <c r="I4" s="2256"/>
      <c r="J4" s="2256"/>
      <c r="K4" s="2256"/>
    </row>
    <row r="5" spans="1:26" x14ac:dyDescent="0.2">
      <c r="B5" s="47"/>
      <c r="C5" s="48"/>
      <c r="D5" s="54"/>
      <c r="E5" s="55"/>
      <c r="F5" s="56"/>
      <c r="G5" s="56"/>
    </row>
    <row r="6" spans="1:26" ht="41.25" customHeight="1" x14ac:dyDescent="0.2">
      <c r="A6" s="2259" t="s">
        <v>859</v>
      </c>
      <c r="B6" s="2259"/>
      <c r="C6" s="50"/>
      <c r="D6" s="52"/>
      <c r="E6" s="53"/>
      <c r="F6" s="53"/>
      <c r="G6" s="53"/>
    </row>
    <row r="7" spans="1:26" ht="14.25" customHeight="1" thickBot="1" x14ac:dyDescent="0.25">
      <c r="A7" s="49"/>
      <c r="B7" s="49"/>
      <c r="C7" s="49"/>
      <c r="D7" s="306"/>
      <c r="E7" s="306"/>
      <c r="F7" s="306"/>
      <c r="G7" s="306"/>
      <c r="H7" s="306"/>
      <c r="I7" s="306"/>
      <c r="J7" s="7"/>
      <c r="K7" s="7"/>
      <c r="L7" s="7"/>
      <c r="M7" s="7"/>
      <c r="N7" s="7"/>
      <c r="O7" s="7"/>
      <c r="P7" s="7"/>
      <c r="Q7" s="7"/>
      <c r="R7" s="7"/>
    </row>
    <row r="8" spans="1:26" ht="19.5" customHeight="1" thickBot="1" x14ac:dyDescent="0.25">
      <c r="A8" s="2257" t="s">
        <v>1118</v>
      </c>
      <c r="B8" s="2258"/>
      <c r="C8" s="1114"/>
      <c r="D8" s="1115"/>
      <c r="E8" s="1116"/>
      <c r="F8" s="1116"/>
      <c r="G8" s="1112"/>
      <c r="H8" s="1112"/>
      <c r="I8" s="1112"/>
      <c r="J8" s="675"/>
      <c r="K8" s="675"/>
      <c r="L8" s="1113"/>
      <c r="M8" s="1113"/>
      <c r="N8" s="675"/>
      <c r="O8" s="675"/>
      <c r="P8" s="675"/>
      <c r="Q8" s="675"/>
      <c r="R8" s="675"/>
      <c r="S8" s="675"/>
      <c r="T8" s="675"/>
      <c r="U8" s="675"/>
      <c r="V8" s="675"/>
    </row>
    <row r="9" spans="1:26" ht="36" customHeight="1" thickBot="1" x14ac:dyDescent="0.35">
      <c r="A9" s="1119" t="s">
        <v>1128</v>
      </c>
      <c r="B9" s="1120" t="s">
        <v>1959</v>
      </c>
      <c r="C9" s="673"/>
      <c r="D9" s="673"/>
      <c r="E9" s="676"/>
      <c r="F9" s="677"/>
      <c r="G9" s="677"/>
      <c r="H9" s="678"/>
      <c r="I9" s="678"/>
      <c r="J9" s="678"/>
      <c r="K9" s="678"/>
      <c r="L9" s="678"/>
      <c r="M9" s="678"/>
      <c r="N9" s="678"/>
      <c r="O9" s="678"/>
      <c r="P9" s="678"/>
      <c r="Q9" s="678"/>
      <c r="R9" s="678"/>
      <c r="S9" s="675"/>
      <c r="T9" s="675"/>
      <c r="U9" s="675"/>
      <c r="V9" s="675"/>
    </row>
    <row r="10" spans="1:26" s="177" customFormat="1" ht="24" customHeight="1" x14ac:dyDescent="0.3">
      <c r="A10" s="693" t="s">
        <v>267</v>
      </c>
      <c r="B10" s="1117">
        <f>IFERROR(IF(WS!$G118&gt;10,10, IF(WS!$G118&lt;0,0, WS!$G118)),"")</f>
        <v>0.55555555555555558</v>
      </c>
      <c r="C10" s="674"/>
      <c r="D10" s="674"/>
      <c r="E10" s="674"/>
      <c r="F10" s="2255"/>
      <c r="G10" s="679"/>
      <c r="H10" s="680"/>
      <c r="I10" s="680"/>
      <c r="J10" s="680"/>
      <c r="K10" s="680"/>
      <c r="L10" s="680"/>
      <c r="M10" s="680"/>
      <c r="N10" s="680"/>
      <c r="O10" s="680"/>
      <c r="P10" s="680"/>
      <c r="Q10" s="680"/>
      <c r="R10" s="680"/>
      <c r="S10" s="681"/>
      <c r="T10" s="681"/>
      <c r="U10" s="681"/>
      <c r="V10" s="681"/>
    </row>
    <row r="11" spans="1:26" s="177" customFormat="1" ht="24" customHeight="1" thickBot="1" x14ac:dyDescent="0.35">
      <c r="A11" s="694" t="s">
        <v>266</v>
      </c>
      <c r="B11" s="709">
        <f>IFERROR(IF(SFS!$G53&gt;10,10, IF(SFS!$G53&lt;0,0, SFS!$G53)),"")</f>
        <v>10</v>
      </c>
      <c r="C11" s="674"/>
      <c r="D11" s="674"/>
      <c r="E11" s="674"/>
      <c r="F11" s="2255"/>
      <c r="G11" s="679"/>
      <c r="H11" s="680"/>
      <c r="I11" s="680"/>
      <c r="J11" s="680"/>
      <c r="K11" s="680"/>
      <c r="L11" s="680"/>
      <c r="M11" s="680"/>
      <c r="N11" s="680"/>
      <c r="O11" s="680"/>
      <c r="P11" s="680"/>
      <c r="Q11" s="680"/>
      <c r="R11" s="680"/>
      <c r="S11" s="681"/>
      <c r="T11" s="681"/>
      <c r="U11" s="681"/>
      <c r="V11" s="681"/>
    </row>
    <row r="12" spans="1:26" s="177" customFormat="1" ht="24" customHeight="1" x14ac:dyDescent="0.3">
      <c r="A12" s="695" t="s">
        <v>2459</v>
      </c>
      <c r="B12" s="1117">
        <f>IFERROR(IF(WC!$G69&gt;10,10, IF(WC!$G69&lt;0,0, WC!$G69)),"")</f>
        <v>0</v>
      </c>
      <c r="C12" s="674"/>
      <c r="D12" s="674"/>
      <c r="E12" s="674"/>
      <c r="F12" s="2255"/>
      <c r="G12" s="679"/>
      <c r="H12" s="680"/>
      <c r="I12" s="680"/>
      <c r="J12" s="680"/>
      <c r="K12" s="680"/>
      <c r="L12" s="680"/>
      <c r="M12" s="680"/>
      <c r="N12" s="680"/>
      <c r="O12" s="680"/>
      <c r="P12" s="680"/>
      <c r="Q12" s="680"/>
      <c r="R12" s="680"/>
      <c r="S12" s="681"/>
      <c r="T12" s="681"/>
      <c r="U12" s="681"/>
      <c r="V12" s="681"/>
    </row>
    <row r="13" spans="1:26" s="177" customFormat="1" ht="24" customHeight="1" x14ac:dyDescent="0.3">
      <c r="A13" s="696" t="s">
        <v>2460</v>
      </c>
      <c r="B13" s="1118">
        <f>IFERROR(IF(SR!$G105&gt;10,10, IF(SR!$G105&lt;0,0, SR!$G105)),"")</f>
        <v>0.76388888888888895</v>
      </c>
      <c r="C13" s="674"/>
      <c r="D13" s="674"/>
      <c r="E13" s="674"/>
      <c r="F13" s="2255"/>
      <c r="G13" s="679"/>
      <c r="H13" s="680"/>
      <c r="I13" s="680"/>
      <c r="J13" s="680"/>
      <c r="K13" s="680"/>
      <c r="L13" s="680"/>
      <c r="M13" s="680"/>
      <c r="N13" s="680"/>
      <c r="O13" s="680"/>
      <c r="P13" s="680"/>
      <c r="Q13" s="680"/>
      <c r="R13" s="680"/>
      <c r="S13" s="681"/>
      <c r="T13" s="681"/>
      <c r="U13" s="681"/>
      <c r="V13" s="681"/>
      <c r="W13" s="1111"/>
      <c r="X13" s="1111"/>
      <c r="Y13" s="1111"/>
    </row>
    <row r="14" spans="1:26" s="177" customFormat="1" ht="24" customHeight="1" x14ac:dyDescent="0.3">
      <c r="A14" s="696" t="s">
        <v>262</v>
      </c>
      <c r="B14" s="1118">
        <f>IFERROR(IF( PR!$G121&gt;10,10, IF( PR!$G121&lt;0,0, PR!$G121)),"")</f>
        <v>0.27777777777777779</v>
      </c>
      <c r="C14" s="674"/>
      <c r="D14" s="674"/>
      <c r="E14" s="674"/>
      <c r="F14" s="2255"/>
      <c r="G14" s="679"/>
      <c r="H14" s="680"/>
      <c r="I14" s="680"/>
      <c r="J14" s="680"/>
      <c r="K14" s="680"/>
      <c r="L14" s="680"/>
      <c r="M14" s="680"/>
      <c r="N14" s="680"/>
      <c r="O14" s="680"/>
      <c r="P14" s="680"/>
      <c r="Q14" s="680"/>
      <c r="R14" s="680"/>
      <c r="S14" s="681"/>
      <c r="T14" s="681"/>
      <c r="U14" s="681"/>
      <c r="V14" s="681"/>
    </row>
    <row r="15" spans="1:26" s="177" customFormat="1" ht="24" customHeight="1" thickBot="1" x14ac:dyDescent="0.35">
      <c r="A15" s="694" t="s">
        <v>51</v>
      </c>
      <c r="B15" s="709">
        <f>IFERROR(IF(NR!$G152&gt;10,10, IF(NR!$G152&lt;0,0, NR!$G152)),"")</f>
        <v>1.4</v>
      </c>
      <c r="C15" s="674"/>
      <c r="D15" s="674"/>
      <c r="E15" s="674"/>
      <c r="F15" s="2255"/>
      <c r="G15" s="679"/>
      <c r="H15" s="680"/>
      <c r="I15" s="680"/>
      <c r="J15" s="680"/>
      <c r="K15" s="680"/>
      <c r="L15" s="680"/>
      <c r="M15" s="680"/>
      <c r="N15" s="680"/>
      <c r="O15" s="680"/>
      <c r="P15" s="680"/>
      <c r="Q15" s="680"/>
      <c r="R15" s="680"/>
      <c r="S15" s="681"/>
      <c r="T15" s="681"/>
      <c r="U15" s="681"/>
      <c r="V15" s="681"/>
      <c r="W15" s="1111"/>
      <c r="X15" s="1111"/>
      <c r="Y15" s="1111"/>
      <c r="Z15" s="1111"/>
    </row>
    <row r="16" spans="1:26" s="177" customFormat="1" ht="24" customHeight="1" x14ac:dyDescent="0.3">
      <c r="A16" s="695" t="s">
        <v>235</v>
      </c>
      <c r="B16" s="1117">
        <f>IFERROR(IF(OE!$G133&gt;10,10, IF(OE!$G133&lt;0,0, OE!$G133)),"")</f>
        <v>0</v>
      </c>
      <c r="C16" s="674"/>
      <c r="D16" s="674"/>
      <c r="E16" s="674"/>
      <c r="F16" s="2255"/>
      <c r="G16" s="679"/>
      <c r="H16" s="680"/>
      <c r="I16" s="680"/>
      <c r="J16" s="680"/>
      <c r="K16" s="680"/>
      <c r="L16" s="680"/>
      <c r="M16" s="680"/>
      <c r="N16" s="680"/>
      <c r="O16" s="680"/>
      <c r="P16" s="680"/>
      <c r="Q16" s="680"/>
      <c r="R16" s="680"/>
      <c r="S16" s="681"/>
      <c r="T16" s="681"/>
      <c r="U16" s="681"/>
      <c r="V16" s="681"/>
    </row>
    <row r="17" spans="1:34" s="177" customFormat="1" ht="24" customHeight="1" x14ac:dyDescent="0.3">
      <c r="A17" s="696" t="s">
        <v>705</v>
      </c>
      <c r="B17" s="1118">
        <f>IFERROR(IF(FH!$G132&gt;10,10, IF(FH!$G132&lt;0,0, FH!$G132)),"")</f>
        <v>0.95</v>
      </c>
      <c r="C17" s="674"/>
      <c r="D17" s="674"/>
      <c r="E17" s="674"/>
      <c r="F17" s="2255"/>
      <c r="G17" s="679"/>
      <c r="H17" s="680"/>
      <c r="I17" s="680"/>
      <c r="J17" s="680"/>
      <c r="K17" s="680"/>
      <c r="L17" s="680"/>
      <c r="M17" s="680"/>
      <c r="N17" s="680"/>
      <c r="O17" s="680"/>
      <c r="P17" s="680"/>
      <c r="Q17" s="680"/>
      <c r="R17" s="680"/>
      <c r="S17" s="681"/>
      <c r="T17" s="681"/>
      <c r="U17" s="681"/>
      <c r="V17" s="681"/>
      <c r="W17" s="1111"/>
      <c r="X17" s="1111"/>
      <c r="Y17" s="1111"/>
      <c r="Z17" s="1111"/>
      <c r="AA17" s="1111"/>
      <c r="AB17" s="1111"/>
      <c r="AC17" s="1111"/>
      <c r="AD17" s="1111"/>
      <c r="AE17" s="1111"/>
      <c r="AF17" s="1111"/>
      <c r="AG17" s="1111"/>
      <c r="AH17" s="1111"/>
    </row>
    <row r="18" spans="1:34" s="177" customFormat="1" ht="24" customHeight="1" x14ac:dyDescent="0.3">
      <c r="A18" s="696" t="s">
        <v>13</v>
      </c>
      <c r="B18" s="1118">
        <f>IFERROR(IF(INV!$G168&gt;10,10, IF(INV!$G168&lt;0,0, INV!$G168)),"")</f>
        <v>0.95833333333333326</v>
      </c>
      <c r="C18" s="674"/>
      <c r="D18" s="674"/>
      <c r="E18" s="674"/>
      <c r="F18" s="682"/>
      <c r="G18" s="681"/>
      <c r="H18" s="677"/>
      <c r="I18" s="677"/>
      <c r="J18" s="677"/>
      <c r="K18" s="677"/>
      <c r="L18" s="677"/>
      <c r="M18" s="677"/>
      <c r="N18" s="677"/>
      <c r="O18" s="677"/>
      <c r="P18" s="677"/>
      <c r="Q18" s="677"/>
      <c r="R18" s="677"/>
      <c r="S18" s="681"/>
      <c r="T18" s="681"/>
      <c r="U18" s="681"/>
      <c r="V18" s="681"/>
    </row>
    <row r="19" spans="1:34" s="177" customFormat="1" ht="24" customHeight="1" x14ac:dyDescent="0.2">
      <c r="A19" s="696" t="s">
        <v>65</v>
      </c>
      <c r="B19" s="1118">
        <f>IFERROR(IF(AM!$G146&gt;10,10, IF(AM!$G146&lt;0,0, AM!$G146)),"")</f>
        <v>1.4</v>
      </c>
      <c r="C19" s="674"/>
      <c r="D19" s="674"/>
      <c r="E19" s="674"/>
      <c r="F19" s="681"/>
      <c r="G19" s="681"/>
      <c r="H19" s="681"/>
      <c r="I19" s="681"/>
      <c r="J19" s="681"/>
      <c r="K19" s="681"/>
      <c r="L19" s="681"/>
      <c r="M19" s="681"/>
      <c r="N19" s="681"/>
      <c r="O19" s="681"/>
      <c r="P19" s="681"/>
      <c r="Q19" s="681"/>
      <c r="R19" s="681"/>
      <c r="S19" s="681"/>
      <c r="T19" s="681"/>
      <c r="U19" s="681"/>
      <c r="V19" s="681"/>
    </row>
    <row r="20" spans="1:34" s="177" customFormat="1" ht="30.75" customHeight="1" x14ac:dyDescent="0.3">
      <c r="A20" s="696" t="s">
        <v>623</v>
      </c>
      <c r="B20" s="1118">
        <f>IFERROR(IF(WB!$G171&gt;10,10, IF(WB!$G171&lt;0,0, WB!$G171)),"")</f>
        <v>0.41666666666666663</v>
      </c>
      <c r="C20" s="674"/>
      <c r="D20" s="674"/>
      <c r="E20" s="674"/>
      <c r="F20" s="683"/>
      <c r="G20" s="683"/>
      <c r="H20" s="683"/>
      <c r="I20" s="684"/>
      <c r="J20" s="684"/>
      <c r="K20" s="681"/>
      <c r="L20" s="681"/>
      <c r="M20" s="681"/>
      <c r="N20" s="681"/>
      <c r="O20" s="681"/>
      <c r="P20" s="681"/>
      <c r="Q20" s="681"/>
      <c r="R20" s="681"/>
      <c r="S20" s="681"/>
      <c r="T20" s="681"/>
      <c r="U20" s="681"/>
      <c r="V20" s="681"/>
    </row>
    <row r="21" spans="1:34" s="177" customFormat="1" ht="24" customHeight="1" x14ac:dyDescent="0.3">
      <c r="A21" s="696" t="s">
        <v>157</v>
      </c>
      <c r="B21" s="1118">
        <f>IFERROR(IF(SBRM!$G162&gt;10,10, IF(SBRM!$G162&lt;0,0, SBRM!$G162)),"")</f>
        <v>1.6666666666666665</v>
      </c>
      <c r="C21" s="674"/>
      <c r="D21" s="674"/>
      <c r="E21" s="674"/>
      <c r="F21" s="685"/>
      <c r="G21" s="677"/>
      <c r="H21" s="680"/>
      <c r="I21" s="684"/>
      <c r="J21" s="681"/>
      <c r="K21" s="681"/>
      <c r="L21" s="681"/>
      <c r="M21" s="681"/>
      <c r="N21" s="681"/>
      <c r="O21" s="681"/>
      <c r="P21" s="681"/>
      <c r="Q21" s="681"/>
      <c r="R21" s="681"/>
      <c r="S21" s="681"/>
      <c r="T21" s="681"/>
      <c r="U21" s="681"/>
      <c r="V21" s="681"/>
    </row>
    <row r="22" spans="1:34" s="177" customFormat="1" ht="24" customHeight="1" thickBot="1" x14ac:dyDescent="0.35">
      <c r="A22" s="862" t="s">
        <v>1249</v>
      </c>
      <c r="B22" s="709">
        <f>IFERROR(IF(PH!$G195&gt;10,10, IF(PH!$G195&lt;0,0, PH!$G195)),"")</f>
        <v>0.4285714285714286</v>
      </c>
      <c r="C22" s="674"/>
      <c r="D22" s="674"/>
      <c r="E22" s="674"/>
      <c r="F22" s="685"/>
      <c r="G22" s="677"/>
      <c r="H22" s="680"/>
      <c r="I22" s="684"/>
      <c r="J22" s="681"/>
      <c r="K22" s="681"/>
      <c r="L22" s="681"/>
      <c r="M22" s="681"/>
      <c r="N22" s="681"/>
      <c r="O22" s="681"/>
      <c r="P22" s="681"/>
      <c r="Q22" s="681"/>
      <c r="R22" s="681"/>
      <c r="S22" s="681"/>
      <c r="T22" s="681"/>
      <c r="U22" s="681"/>
      <c r="V22" s="681"/>
    </row>
    <row r="23" spans="1:34" s="177" customFormat="1" ht="24" customHeight="1" x14ac:dyDescent="0.3">
      <c r="A23" s="1166" t="s">
        <v>1958</v>
      </c>
      <c r="B23" s="1121">
        <f>IFERROR(IF(FIRE!$G21&gt;10,10, IF(FIRE!$G21&lt;0,0, FIRE!$G21)),"")</f>
        <v>0</v>
      </c>
      <c r="C23" s="674"/>
      <c r="D23" s="674"/>
      <c r="E23" s="674"/>
      <c r="F23" s="685"/>
      <c r="G23" s="677"/>
      <c r="H23" s="680"/>
      <c r="I23" s="684"/>
      <c r="J23" s="681"/>
      <c r="K23" s="681"/>
      <c r="L23" s="681"/>
      <c r="M23" s="681"/>
      <c r="N23" s="681"/>
      <c r="O23" s="681"/>
      <c r="P23" s="681"/>
      <c r="Q23" s="681"/>
      <c r="R23" s="681"/>
      <c r="S23" s="681"/>
      <c r="T23" s="681"/>
      <c r="U23" s="681"/>
      <c r="V23" s="681"/>
    </row>
    <row r="24" spans="1:34" s="177" customFormat="1" ht="21.75" customHeight="1" thickBot="1" x14ac:dyDescent="0.35">
      <c r="A24" s="863" t="s">
        <v>654</v>
      </c>
      <c r="B24" s="709">
        <f>IFERROR(IF(HU!$G79&gt;10,10, IF(HU!$G79&lt;0,0, HU!$G79)),"")</f>
        <v>2.25</v>
      </c>
      <c r="C24" s="674"/>
      <c r="D24" s="674"/>
      <c r="E24" s="686"/>
      <c r="F24" s="685"/>
      <c r="G24" s="677"/>
      <c r="H24" s="680"/>
      <c r="I24" s="684"/>
      <c r="J24" s="681"/>
      <c r="K24" s="681"/>
      <c r="L24" s="681"/>
      <c r="M24" s="681"/>
      <c r="N24" s="681"/>
      <c r="O24" s="681"/>
      <c r="P24" s="681"/>
      <c r="Q24" s="681"/>
      <c r="R24" s="681"/>
      <c r="S24" s="681"/>
      <c r="T24" s="681"/>
      <c r="U24" s="681"/>
      <c r="V24" s="681"/>
    </row>
    <row r="25" spans="1:34" ht="16.5" x14ac:dyDescent="0.3">
      <c r="C25" s="672"/>
      <c r="D25" s="672"/>
      <c r="E25" s="687"/>
      <c r="F25" s="685"/>
      <c r="G25" s="677"/>
      <c r="H25" s="680"/>
      <c r="I25" s="684"/>
      <c r="J25" s="675"/>
      <c r="K25" s="675"/>
      <c r="L25" s="675"/>
      <c r="M25" s="675"/>
      <c r="N25" s="675"/>
      <c r="O25" s="675"/>
      <c r="P25" s="675"/>
      <c r="Q25" s="675"/>
      <c r="R25" s="675"/>
      <c r="S25" s="675"/>
      <c r="T25" s="675"/>
      <c r="U25" s="675"/>
      <c r="V25" s="675"/>
    </row>
    <row r="26" spans="1:34" ht="37.5" customHeight="1" x14ac:dyDescent="0.3">
      <c r="A26" s="671"/>
      <c r="B26" s="672"/>
      <c r="C26" s="672"/>
      <c r="D26" s="672"/>
      <c r="E26" s="688"/>
      <c r="F26" s="685"/>
      <c r="G26" s="677"/>
      <c r="H26" s="680"/>
      <c r="I26" s="684"/>
      <c r="J26" s="684"/>
      <c r="K26" s="675"/>
      <c r="L26" s="675"/>
      <c r="M26" s="675"/>
      <c r="N26" s="675"/>
      <c r="O26" s="675"/>
      <c r="P26" s="675"/>
      <c r="Q26" s="675"/>
      <c r="R26" s="675"/>
      <c r="S26" s="675"/>
      <c r="T26" s="675"/>
      <c r="U26" s="675"/>
      <c r="V26" s="675"/>
    </row>
    <row r="27" spans="1:34" ht="16.5" x14ac:dyDescent="0.3">
      <c r="B27" s="672"/>
      <c r="C27" s="672"/>
      <c r="D27" s="672"/>
      <c r="E27" s="687"/>
      <c r="F27" s="685"/>
      <c r="G27" s="677"/>
      <c r="H27" s="680"/>
      <c r="I27" s="684"/>
      <c r="J27" s="684"/>
      <c r="K27" s="675"/>
      <c r="L27" s="675"/>
      <c r="M27" s="675"/>
      <c r="N27" s="675"/>
      <c r="O27" s="675"/>
      <c r="P27" s="675"/>
      <c r="Q27" s="675"/>
      <c r="R27" s="675"/>
      <c r="S27" s="675"/>
      <c r="T27" s="675"/>
      <c r="U27" s="675"/>
      <c r="V27" s="675"/>
    </row>
    <row r="28" spans="1:34" ht="16.5" x14ac:dyDescent="0.3">
      <c r="B28" s="672"/>
      <c r="C28" s="672"/>
      <c r="D28" s="672"/>
      <c r="E28" s="710"/>
      <c r="F28" s="711"/>
      <c r="G28" s="712"/>
      <c r="H28" s="712"/>
      <c r="I28" s="713"/>
      <c r="J28" s="713"/>
      <c r="K28" s="714"/>
      <c r="L28" s="714"/>
      <c r="M28" s="714"/>
      <c r="N28" s="714"/>
      <c r="O28" s="714"/>
      <c r="P28" s="714"/>
      <c r="Q28" s="714"/>
      <c r="R28" s="714"/>
      <c r="S28" s="675"/>
      <c r="T28" s="675"/>
      <c r="U28" s="675"/>
      <c r="V28" s="675"/>
    </row>
    <row r="29" spans="1:34" ht="15.75" x14ac:dyDescent="0.2">
      <c r="B29" s="672"/>
      <c r="C29" s="672"/>
      <c r="D29" s="672"/>
      <c r="E29" s="710"/>
      <c r="F29" s="689"/>
      <c r="G29" s="690"/>
      <c r="H29" s="690"/>
      <c r="I29" s="690"/>
      <c r="J29" s="690"/>
      <c r="K29" s="690"/>
      <c r="L29" s="690"/>
      <c r="M29" s="690"/>
      <c r="N29" s="690"/>
      <c r="O29" s="690"/>
      <c r="P29" s="690"/>
      <c r="Q29" s="690"/>
      <c r="R29" s="690"/>
      <c r="S29" s="675"/>
      <c r="T29" s="675"/>
      <c r="U29" s="675"/>
      <c r="V29" s="675"/>
    </row>
    <row r="30" spans="1:34" ht="15.75" x14ac:dyDescent="0.2">
      <c r="B30" s="672"/>
      <c r="C30" s="672"/>
      <c r="D30" s="1110"/>
      <c r="E30" s="1110"/>
      <c r="F30" s="690"/>
      <c r="G30" s="691"/>
      <c r="H30" s="691"/>
      <c r="I30" s="691"/>
      <c r="J30" s="691"/>
      <c r="K30" s="691"/>
      <c r="L30" s="691"/>
      <c r="M30" s="691"/>
      <c r="N30" s="691"/>
      <c r="O30" s="691"/>
      <c r="P30" s="691"/>
      <c r="Q30" s="691"/>
      <c r="R30" s="691"/>
      <c r="S30" s="675"/>
      <c r="T30" s="675"/>
      <c r="U30" s="675"/>
      <c r="V30" s="675"/>
    </row>
    <row r="31" spans="1:34" ht="15.75" x14ac:dyDescent="0.2">
      <c r="A31" s="7"/>
      <c r="B31" s="7"/>
      <c r="C31" s="672"/>
      <c r="D31" s="1110"/>
      <c r="E31" s="1110"/>
      <c r="F31" s="690"/>
      <c r="G31" s="691"/>
      <c r="H31" s="691"/>
      <c r="I31" s="691"/>
      <c r="J31" s="691"/>
      <c r="K31" s="691"/>
      <c r="L31" s="691"/>
      <c r="M31" s="691"/>
      <c r="N31" s="691"/>
      <c r="O31" s="691"/>
      <c r="P31" s="691"/>
      <c r="Q31" s="691"/>
      <c r="R31" s="691"/>
      <c r="S31" s="675"/>
      <c r="T31" s="675"/>
      <c r="U31" s="675"/>
      <c r="V31" s="675"/>
    </row>
    <row r="32" spans="1:34" ht="15.75" x14ac:dyDescent="0.2">
      <c r="B32" s="672"/>
      <c r="C32" s="672"/>
      <c r="D32" s="1110"/>
      <c r="E32" s="1110"/>
      <c r="F32" s="690"/>
      <c r="G32" s="691"/>
      <c r="H32" s="691"/>
      <c r="I32" s="691"/>
      <c r="J32" s="691"/>
      <c r="K32" s="691"/>
      <c r="L32" s="691"/>
      <c r="M32" s="691"/>
      <c r="N32" s="691"/>
      <c r="O32" s="691"/>
      <c r="P32" s="691"/>
      <c r="Q32" s="691"/>
      <c r="R32" s="691"/>
      <c r="S32" s="675"/>
      <c r="T32" s="675"/>
      <c r="U32" s="675"/>
      <c r="V32" s="675"/>
    </row>
    <row r="33" spans="2:22" ht="15.75" x14ac:dyDescent="0.2">
      <c r="B33" s="672"/>
      <c r="C33" s="672"/>
      <c r="D33" s="1110"/>
      <c r="E33" s="1110"/>
      <c r="F33" s="690"/>
      <c r="G33" s="691"/>
      <c r="H33" s="691"/>
      <c r="I33" s="691"/>
      <c r="J33" s="691"/>
      <c r="K33" s="691"/>
      <c r="L33" s="691"/>
      <c r="M33" s="691"/>
      <c r="N33" s="691"/>
      <c r="O33" s="691"/>
      <c r="P33" s="691"/>
      <c r="Q33" s="691"/>
      <c r="R33" s="691"/>
      <c r="S33" s="675"/>
      <c r="T33" s="675"/>
      <c r="U33" s="675"/>
      <c r="V33" s="675"/>
    </row>
    <row r="34" spans="2:22" ht="15.75" x14ac:dyDescent="0.2">
      <c r="B34" s="672"/>
      <c r="C34" s="672"/>
      <c r="D34" s="1110"/>
      <c r="E34" s="1110"/>
      <c r="F34" s="690"/>
      <c r="G34" s="691"/>
      <c r="H34" s="691"/>
      <c r="I34" s="691"/>
      <c r="J34" s="691"/>
      <c r="K34" s="691"/>
      <c r="L34" s="691"/>
      <c r="M34" s="691"/>
      <c r="N34" s="691"/>
      <c r="O34" s="691"/>
      <c r="P34" s="691"/>
      <c r="Q34" s="691"/>
      <c r="R34" s="691"/>
      <c r="S34" s="675"/>
      <c r="T34" s="675"/>
      <c r="U34" s="675"/>
      <c r="V34" s="675"/>
    </row>
    <row r="35" spans="2:22" ht="15.75" x14ac:dyDescent="0.2">
      <c r="B35" s="672"/>
      <c r="C35" s="672"/>
      <c r="D35" s="1110"/>
      <c r="E35" s="1110"/>
      <c r="F35" s="690"/>
      <c r="G35" s="691"/>
      <c r="H35" s="691"/>
      <c r="I35" s="691"/>
      <c r="J35" s="691"/>
      <c r="K35" s="691"/>
      <c r="L35" s="691"/>
      <c r="M35" s="691"/>
      <c r="N35" s="691"/>
      <c r="O35" s="691"/>
      <c r="P35" s="691"/>
      <c r="Q35" s="691"/>
      <c r="R35" s="691"/>
      <c r="S35" s="675"/>
      <c r="T35" s="675"/>
      <c r="U35" s="675"/>
      <c r="V35" s="675"/>
    </row>
    <row r="36" spans="2:22" ht="15.75" x14ac:dyDescent="0.2">
      <c r="B36" s="672"/>
      <c r="C36" s="672"/>
      <c r="D36" s="1110"/>
      <c r="E36" s="1110"/>
      <c r="F36" s="690"/>
      <c r="G36" s="691"/>
      <c r="H36" s="691"/>
      <c r="I36" s="691"/>
      <c r="J36" s="691"/>
      <c r="K36" s="691"/>
      <c r="L36" s="691"/>
      <c r="M36" s="691"/>
      <c r="N36" s="691"/>
      <c r="O36" s="691"/>
      <c r="P36" s="691"/>
      <c r="Q36" s="691"/>
      <c r="R36" s="691"/>
      <c r="S36" s="675"/>
      <c r="T36" s="675"/>
      <c r="U36" s="675"/>
      <c r="V36" s="675"/>
    </row>
    <row r="37" spans="2:22" ht="15.75" x14ac:dyDescent="0.2">
      <c r="B37" s="672"/>
      <c r="C37" s="672"/>
      <c r="D37" s="1110"/>
      <c r="E37" s="1110"/>
      <c r="F37" s="690"/>
      <c r="G37" s="691"/>
      <c r="H37" s="691"/>
      <c r="I37" s="691"/>
      <c r="J37" s="691"/>
      <c r="K37" s="691"/>
      <c r="L37" s="691"/>
      <c r="M37" s="691"/>
      <c r="N37" s="691"/>
      <c r="O37" s="691"/>
      <c r="P37" s="691"/>
      <c r="Q37" s="691"/>
      <c r="R37" s="691"/>
      <c r="S37" s="675"/>
      <c r="T37" s="675"/>
      <c r="U37" s="675"/>
      <c r="V37" s="675"/>
    </row>
    <row r="38" spans="2:22" ht="15.75" x14ac:dyDescent="0.2">
      <c r="B38" s="672"/>
      <c r="C38" s="672"/>
      <c r="D38" s="1110"/>
      <c r="E38" s="1110"/>
      <c r="F38" s="690"/>
      <c r="G38" s="691"/>
      <c r="H38" s="691"/>
      <c r="I38" s="691"/>
      <c r="J38" s="691"/>
      <c r="K38" s="691"/>
      <c r="L38" s="691"/>
      <c r="M38" s="691"/>
      <c r="N38" s="691"/>
      <c r="O38" s="691"/>
      <c r="P38" s="691"/>
      <c r="Q38" s="691"/>
      <c r="R38" s="691"/>
      <c r="S38" s="675"/>
      <c r="T38" s="675"/>
      <c r="U38" s="675"/>
      <c r="V38" s="675"/>
    </row>
    <row r="39" spans="2:22" ht="15.75" x14ac:dyDescent="0.2">
      <c r="B39" s="672"/>
      <c r="C39" s="672"/>
      <c r="D39" s="1110"/>
      <c r="E39" s="1110"/>
      <c r="F39" s="690"/>
      <c r="G39" s="691"/>
      <c r="H39" s="691"/>
      <c r="I39" s="691"/>
      <c r="J39" s="691"/>
      <c r="K39" s="691"/>
      <c r="L39" s="691"/>
      <c r="M39" s="691"/>
      <c r="N39" s="691"/>
      <c r="O39" s="691"/>
      <c r="P39" s="691"/>
      <c r="Q39" s="691"/>
      <c r="R39" s="691"/>
      <c r="S39" s="675"/>
      <c r="T39" s="675"/>
      <c r="U39" s="675"/>
      <c r="V39" s="675"/>
    </row>
    <row r="40" spans="2:22" ht="15.75" x14ac:dyDescent="0.2">
      <c r="B40" s="672"/>
      <c r="C40" s="672"/>
      <c r="D40" s="1110"/>
      <c r="E40" s="1110"/>
      <c r="F40" s="690" t="s">
        <v>516</v>
      </c>
      <c r="G40" s="691">
        <v>10</v>
      </c>
      <c r="H40" s="691">
        <v>2.170015327568783</v>
      </c>
      <c r="I40" s="691">
        <v>10</v>
      </c>
      <c r="J40" s="691">
        <v>1.3613012483333333</v>
      </c>
      <c r="K40" s="691">
        <v>10</v>
      </c>
      <c r="L40" s="691">
        <v>1.3535442445833334</v>
      </c>
      <c r="M40" s="691"/>
      <c r="N40" s="691"/>
      <c r="O40" s="691"/>
      <c r="P40" s="691"/>
      <c r="Q40" s="691"/>
      <c r="R40" s="691"/>
      <c r="S40" s="675"/>
      <c r="T40" s="675"/>
      <c r="U40" s="675"/>
      <c r="V40" s="675"/>
    </row>
    <row r="41" spans="2:22" ht="15.75" x14ac:dyDescent="0.2">
      <c r="B41" s="672"/>
      <c r="C41" s="672"/>
      <c r="D41" s="1110"/>
      <c r="E41" s="1110"/>
      <c r="F41" s="690" t="s">
        <v>517</v>
      </c>
      <c r="G41" s="691">
        <v>7.8589086118301585</v>
      </c>
      <c r="H41" s="691">
        <v>2.3605539013455021</v>
      </c>
      <c r="I41" s="691">
        <v>7.871541955833333</v>
      </c>
      <c r="J41" s="691">
        <v>3.487968728611111</v>
      </c>
      <c r="K41" s="691">
        <v>8.0435897574074087</v>
      </c>
      <c r="L41" s="691">
        <v>3.54272569375</v>
      </c>
      <c r="M41" s="691"/>
      <c r="N41" s="691"/>
      <c r="O41" s="691"/>
      <c r="P41" s="691"/>
      <c r="Q41" s="691"/>
      <c r="R41" s="691"/>
      <c r="S41" s="675"/>
      <c r="T41" s="675"/>
      <c r="U41" s="675"/>
      <c r="V41" s="675"/>
    </row>
    <row r="42" spans="2:22" ht="15.75" x14ac:dyDescent="0.2">
      <c r="B42" s="672"/>
      <c r="C42" s="672"/>
      <c r="D42" s="1110"/>
      <c r="E42" s="1110"/>
      <c r="F42" s="690" t="s">
        <v>519</v>
      </c>
      <c r="G42" s="691">
        <v>7.6962532355238098</v>
      </c>
      <c r="H42" s="691">
        <v>2.1835193160544217</v>
      </c>
      <c r="I42" s="691">
        <v>7.9573209432500001</v>
      </c>
      <c r="J42" s="691">
        <v>2.886473983138889</v>
      </c>
      <c r="K42" s="691">
        <v>8.5472264932962965</v>
      </c>
      <c r="L42" s="691">
        <v>2.8834063551666667</v>
      </c>
      <c r="M42" s="691"/>
      <c r="N42" s="691"/>
      <c r="O42" s="691"/>
      <c r="P42" s="691"/>
      <c r="Q42" s="691"/>
      <c r="R42" s="691"/>
      <c r="S42" s="675"/>
      <c r="T42" s="675"/>
      <c r="U42" s="675"/>
      <c r="V42" s="675"/>
    </row>
    <row r="43" spans="2:22" ht="15.75" x14ac:dyDescent="0.2">
      <c r="B43" s="672"/>
      <c r="C43" s="672"/>
      <c r="D43" s="1110"/>
      <c r="E43" s="1110"/>
      <c r="F43" s="690" t="s">
        <v>1116</v>
      </c>
      <c r="G43" s="691">
        <v>6.4603991528285718</v>
      </c>
      <c r="H43" s="691">
        <v>1.2687647593333335</v>
      </c>
      <c r="I43" s="691">
        <v>8.5681033908749988</v>
      </c>
      <c r="J43" s="691">
        <v>0.74711518975000002</v>
      </c>
      <c r="K43" s="691">
        <v>8.1682851186250005</v>
      </c>
      <c r="L43" s="691">
        <v>1.3721151897500001</v>
      </c>
      <c r="M43" s="691">
        <v>6.4603991528285718</v>
      </c>
      <c r="N43" s="691">
        <v>1.2687647593333335</v>
      </c>
      <c r="O43" s="691">
        <v>8.5681033908749988</v>
      </c>
      <c r="P43" s="691">
        <v>0.74711518975000002</v>
      </c>
      <c r="Q43" s="691">
        <v>8.1682851186250005</v>
      </c>
      <c r="R43" s="691">
        <v>1.3721151897500001</v>
      </c>
      <c r="S43" s="675"/>
      <c r="T43" s="675"/>
      <c r="U43" s="675"/>
      <c r="V43" s="675"/>
    </row>
    <row r="44" spans="2:22" x14ac:dyDescent="0.2">
      <c r="B44" s="672"/>
      <c r="C44" s="672"/>
      <c r="D44" s="672"/>
      <c r="E44" s="710"/>
      <c r="F44" s="710"/>
      <c r="G44" s="710"/>
      <c r="H44" s="710"/>
      <c r="I44" s="710"/>
      <c r="J44" s="714"/>
      <c r="K44" s="714"/>
      <c r="L44" s="714"/>
      <c r="M44" s="714"/>
      <c r="N44" s="714"/>
      <c r="O44" s="714"/>
      <c r="P44" s="714"/>
      <c r="Q44" s="714"/>
      <c r="R44" s="714"/>
      <c r="S44" s="675"/>
      <c r="T44" s="675"/>
      <c r="U44" s="675"/>
      <c r="V44" s="675"/>
    </row>
    <row r="45" spans="2:22" x14ac:dyDescent="0.2">
      <c r="C45" s="672"/>
      <c r="D45" s="672"/>
      <c r="E45" s="687"/>
      <c r="F45" s="687"/>
      <c r="G45" s="687"/>
      <c r="H45" s="687"/>
      <c r="I45" s="687"/>
      <c r="J45" s="675"/>
      <c r="K45" s="675"/>
      <c r="L45" s="675"/>
      <c r="M45" s="675"/>
      <c r="N45" s="675"/>
      <c r="O45" s="675"/>
      <c r="P45" s="675"/>
      <c r="Q45" s="675"/>
      <c r="R45" s="675"/>
      <c r="S45" s="675"/>
      <c r="T45" s="675"/>
      <c r="U45" s="675"/>
      <c r="V45" s="675"/>
    </row>
  </sheetData>
  <sheetProtection password="C4B9" sheet="1" objects="1" scenarios="1"/>
  <customSheetViews>
    <customSheetView guid="{B8E02330-2419-4DE6-AD01-7ACC7A5D18DD}" hiddenColumns="1">
      <selection sqref="A1:I1"/>
      <pageMargins left="0.25" right="0.25" top="0.75" bottom="0.75" header="0.3" footer="0.3"/>
      <pageSetup orientation="portrait" r:id="rId1"/>
      <headerFooter alignWithMargins="0"/>
    </customSheetView>
  </customSheetViews>
  <mergeCells count="10">
    <mergeCell ref="F10:F11"/>
    <mergeCell ref="F12:F13"/>
    <mergeCell ref="F14:F15"/>
    <mergeCell ref="F16:F17"/>
    <mergeCell ref="B1:K1"/>
    <mergeCell ref="B2:K2"/>
    <mergeCell ref="B3:K3"/>
    <mergeCell ref="B4:K4"/>
    <mergeCell ref="A8:B8"/>
    <mergeCell ref="A6:B6"/>
  </mergeCells>
  <phoneticPr fontId="12" type="noConversion"/>
  <conditionalFormatting sqref="E24 B10:D24">
    <cfRule type="expression" dxfId="1" priority="9">
      <formula>"enter =ISERROR(B8:C31)"</formula>
    </cfRule>
  </conditionalFormatting>
  <pageMargins left="0.25" right="0.25" top="0.75" bottom="0.75" header="0.3" footer="0.3"/>
  <pageSetup scale="70" orientation="portrait"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34"/>
  <sheetViews>
    <sheetView workbookViewId="0"/>
  </sheetViews>
  <sheetFormatPr defaultRowHeight="12.75" x14ac:dyDescent="0.2"/>
  <cols>
    <col min="1" max="1" width="33.83203125" style="1253" customWidth="1"/>
    <col min="2" max="2" width="30.83203125" style="1253" customWidth="1"/>
    <col min="3" max="3" width="16.33203125" style="1253" customWidth="1"/>
  </cols>
  <sheetData>
    <row r="1" spans="1:3" ht="28.15" customHeight="1" x14ac:dyDescent="0.3">
      <c r="A1" s="1249" t="s">
        <v>1360</v>
      </c>
      <c r="B1" s="1249" t="s">
        <v>1361</v>
      </c>
      <c r="C1" s="1250" t="s">
        <v>1362</v>
      </c>
    </row>
    <row r="2" spans="1:3" x14ac:dyDescent="0.2">
      <c r="A2" s="1251" t="s">
        <v>1367</v>
      </c>
      <c r="B2" s="1251" t="s">
        <v>1368</v>
      </c>
      <c r="C2" s="1252">
        <v>1</v>
      </c>
    </row>
    <row r="3" spans="1:3" x14ac:dyDescent="0.2">
      <c r="A3" s="1251" t="s">
        <v>1375</v>
      </c>
      <c r="B3" s="1251" t="s">
        <v>1376</v>
      </c>
      <c r="C3" s="1252">
        <v>1</v>
      </c>
    </row>
    <row r="4" spans="1:3" x14ac:dyDescent="0.2">
      <c r="A4" s="1251" t="s">
        <v>1377</v>
      </c>
      <c r="B4" s="1251" t="s">
        <v>1378</v>
      </c>
      <c r="C4" s="1252">
        <v>1</v>
      </c>
    </row>
    <row r="5" spans="1:3" x14ac:dyDescent="0.2">
      <c r="A5" s="1251" t="s">
        <v>1405</v>
      </c>
      <c r="B5" s="1251" t="s">
        <v>1406</v>
      </c>
      <c r="C5" s="1252">
        <v>1</v>
      </c>
    </row>
    <row r="6" spans="1:3" x14ac:dyDescent="0.2">
      <c r="A6" s="1251" t="s">
        <v>1409</v>
      </c>
      <c r="B6" s="1251" t="s">
        <v>1410</v>
      </c>
      <c r="C6" s="1252">
        <v>1</v>
      </c>
    </row>
    <row r="7" spans="1:3" x14ac:dyDescent="0.2">
      <c r="A7" s="1251" t="s">
        <v>1411</v>
      </c>
      <c r="B7" s="1251" t="s">
        <v>1412</v>
      </c>
      <c r="C7" s="1252">
        <v>1</v>
      </c>
    </row>
    <row r="8" spans="1:3" x14ac:dyDescent="0.2">
      <c r="A8" s="1251" t="s">
        <v>1413</v>
      </c>
      <c r="B8" s="1251" t="s">
        <v>1414</v>
      </c>
      <c r="C8" s="1252">
        <v>1</v>
      </c>
    </row>
    <row r="9" spans="1:3" x14ac:dyDescent="0.2">
      <c r="A9" s="1251" t="s">
        <v>1415</v>
      </c>
      <c r="B9" s="1251" t="s">
        <v>1416</v>
      </c>
      <c r="C9" s="1252">
        <v>1</v>
      </c>
    </row>
    <row r="10" spans="1:3" x14ac:dyDescent="0.2">
      <c r="A10" s="1251" t="s">
        <v>1417</v>
      </c>
      <c r="B10" s="1251" t="s">
        <v>1418</v>
      </c>
      <c r="C10" s="1252">
        <v>1</v>
      </c>
    </row>
    <row r="11" spans="1:3" x14ac:dyDescent="0.2">
      <c r="A11" s="1251" t="s">
        <v>1419</v>
      </c>
      <c r="B11" s="1251" t="s">
        <v>1420</v>
      </c>
      <c r="C11" s="1252">
        <v>1</v>
      </c>
    </row>
    <row r="12" spans="1:3" x14ac:dyDescent="0.2">
      <c r="A12" s="1251" t="s">
        <v>1421</v>
      </c>
      <c r="B12" s="1251" t="s">
        <v>1422</v>
      </c>
      <c r="C12" s="1252">
        <v>1</v>
      </c>
    </row>
    <row r="13" spans="1:3" x14ac:dyDescent="0.2">
      <c r="A13" s="1251" t="s">
        <v>1423</v>
      </c>
      <c r="B13" s="1251" t="s">
        <v>1424</v>
      </c>
      <c r="C13" s="1252">
        <v>1</v>
      </c>
    </row>
    <row r="14" spans="1:3" x14ac:dyDescent="0.2">
      <c r="A14" s="1251" t="s">
        <v>1425</v>
      </c>
      <c r="B14" s="1251" t="s">
        <v>1426</v>
      </c>
      <c r="C14" s="1252">
        <v>1</v>
      </c>
    </row>
    <row r="15" spans="1:3" x14ac:dyDescent="0.2">
      <c r="A15" s="1251" t="s">
        <v>1427</v>
      </c>
      <c r="B15" s="1251" t="s">
        <v>1428</v>
      </c>
      <c r="C15" s="1252">
        <v>1</v>
      </c>
    </row>
    <row r="16" spans="1:3" x14ac:dyDescent="0.2">
      <c r="A16" s="1251" t="s">
        <v>1429</v>
      </c>
      <c r="B16" s="1251" t="s">
        <v>1430</v>
      </c>
      <c r="C16" s="1252">
        <v>1</v>
      </c>
    </row>
    <row r="17" spans="1:3" x14ac:dyDescent="0.2">
      <c r="A17" s="1251" t="s">
        <v>1431</v>
      </c>
      <c r="B17" s="1251" t="s">
        <v>1432</v>
      </c>
      <c r="C17" s="1252">
        <v>1</v>
      </c>
    </row>
    <row r="18" spans="1:3" x14ac:dyDescent="0.2">
      <c r="A18" s="1251" t="s">
        <v>1433</v>
      </c>
      <c r="B18" s="1251" t="s">
        <v>1434</v>
      </c>
      <c r="C18" s="1252">
        <v>1</v>
      </c>
    </row>
    <row r="19" spans="1:3" x14ac:dyDescent="0.2">
      <c r="A19" s="1251" t="s">
        <v>1435</v>
      </c>
      <c r="B19" s="1251" t="s">
        <v>1436</v>
      </c>
      <c r="C19" s="1252">
        <v>1</v>
      </c>
    </row>
    <row r="20" spans="1:3" x14ac:dyDescent="0.2">
      <c r="A20" s="1251" t="s">
        <v>1437</v>
      </c>
      <c r="B20" s="1251" t="s">
        <v>1438</v>
      </c>
      <c r="C20" s="1252">
        <v>1</v>
      </c>
    </row>
    <row r="21" spans="1:3" x14ac:dyDescent="0.2">
      <c r="A21" s="1251" t="s">
        <v>1447</v>
      </c>
      <c r="B21" s="1251" t="s">
        <v>1448</v>
      </c>
      <c r="C21" s="1252">
        <v>1</v>
      </c>
    </row>
    <row r="22" spans="1:3" x14ac:dyDescent="0.2">
      <c r="A22" s="1251" t="s">
        <v>1457</v>
      </c>
      <c r="B22" s="1251" t="s">
        <v>1458</v>
      </c>
      <c r="C22" s="1252">
        <v>1</v>
      </c>
    </row>
    <row r="23" spans="1:3" x14ac:dyDescent="0.2">
      <c r="A23" s="1251" t="s">
        <v>1459</v>
      </c>
      <c r="B23" s="1251" t="s">
        <v>1460</v>
      </c>
      <c r="C23" s="1252">
        <v>1</v>
      </c>
    </row>
    <row r="24" spans="1:3" x14ac:dyDescent="0.2">
      <c r="A24" s="1251" t="s">
        <v>1461</v>
      </c>
      <c r="B24" s="1251" t="s">
        <v>1462</v>
      </c>
      <c r="C24" s="1252">
        <v>1</v>
      </c>
    </row>
    <row r="25" spans="1:3" x14ac:dyDescent="0.2">
      <c r="A25" s="1251" t="s">
        <v>1463</v>
      </c>
      <c r="B25" s="1251" t="s">
        <v>1464</v>
      </c>
      <c r="C25" s="1252">
        <v>1</v>
      </c>
    </row>
    <row r="26" spans="1:3" x14ac:dyDescent="0.2">
      <c r="A26" s="1251" t="s">
        <v>1474</v>
      </c>
      <c r="B26" s="1251" t="s">
        <v>1475</v>
      </c>
      <c r="C26" s="1252">
        <v>1</v>
      </c>
    </row>
    <row r="27" spans="1:3" x14ac:dyDescent="0.2">
      <c r="A27" s="1251" t="s">
        <v>1482</v>
      </c>
      <c r="B27" s="1251" t="s">
        <v>1483</v>
      </c>
      <c r="C27" s="1252">
        <v>1</v>
      </c>
    </row>
    <row r="28" spans="1:3" x14ac:dyDescent="0.2">
      <c r="A28" s="1251" t="s">
        <v>1492</v>
      </c>
      <c r="B28" s="1251" t="s">
        <v>1493</v>
      </c>
      <c r="C28" s="1252">
        <v>1</v>
      </c>
    </row>
    <row r="29" spans="1:3" x14ac:dyDescent="0.2">
      <c r="A29" s="1251" t="s">
        <v>1494</v>
      </c>
      <c r="B29" s="1251" t="s">
        <v>1495</v>
      </c>
      <c r="C29" s="1252">
        <v>1</v>
      </c>
    </row>
    <row r="30" spans="1:3" x14ac:dyDescent="0.2">
      <c r="A30" s="1251" t="s">
        <v>1496</v>
      </c>
      <c r="B30" s="1251" t="s">
        <v>1497</v>
      </c>
      <c r="C30" s="1252">
        <v>1</v>
      </c>
    </row>
    <row r="31" spans="1:3" x14ac:dyDescent="0.2">
      <c r="A31" s="1251" t="s">
        <v>1504</v>
      </c>
      <c r="B31" s="1251" t="s">
        <v>1505</v>
      </c>
      <c r="C31" s="1252">
        <v>1</v>
      </c>
    </row>
    <row r="32" spans="1:3" x14ac:dyDescent="0.2">
      <c r="A32" s="1251" t="s">
        <v>1508</v>
      </c>
      <c r="B32" s="1251" t="s">
        <v>1509</v>
      </c>
      <c r="C32" s="1252">
        <v>1</v>
      </c>
    </row>
    <row r="33" spans="1:3" x14ac:dyDescent="0.2">
      <c r="A33" s="1251" t="s">
        <v>1512</v>
      </c>
      <c r="B33" s="1251" t="s">
        <v>1513</v>
      </c>
      <c r="C33" s="1252">
        <v>1</v>
      </c>
    </row>
    <row r="34" spans="1:3" x14ac:dyDescent="0.2">
      <c r="A34" s="1251" t="s">
        <v>1514</v>
      </c>
      <c r="B34" s="1251" t="s">
        <v>1513</v>
      </c>
      <c r="C34" s="1252">
        <v>1</v>
      </c>
    </row>
    <row r="35" spans="1:3" x14ac:dyDescent="0.2">
      <c r="A35" s="1251" t="s">
        <v>1515</v>
      </c>
      <c r="B35" s="1251" t="s">
        <v>1516</v>
      </c>
      <c r="C35" s="1252">
        <v>1</v>
      </c>
    </row>
    <row r="36" spans="1:3" x14ac:dyDescent="0.2">
      <c r="A36" s="1251" t="s">
        <v>1517</v>
      </c>
      <c r="B36" s="1251" t="s">
        <v>1518</v>
      </c>
      <c r="C36" s="1252">
        <v>1</v>
      </c>
    </row>
    <row r="37" spans="1:3" x14ac:dyDescent="0.2">
      <c r="A37" s="1251" t="s">
        <v>1519</v>
      </c>
      <c r="B37" s="1251" t="s">
        <v>1520</v>
      </c>
      <c r="C37" s="1252">
        <v>1</v>
      </c>
    </row>
    <row r="38" spans="1:3" x14ac:dyDescent="0.2">
      <c r="A38" s="1251" t="s">
        <v>1521</v>
      </c>
      <c r="B38" s="1251" t="s">
        <v>1522</v>
      </c>
      <c r="C38" s="1252">
        <v>1</v>
      </c>
    </row>
    <row r="39" spans="1:3" x14ac:dyDescent="0.2">
      <c r="A39" s="1251" t="s">
        <v>1523</v>
      </c>
      <c r="B39" s="1251" t="s">
        <v>1524</v>
      </c>
      <c r="C39" s="1252">
        <v>1</v>
      </c>
    </row>
    <row r="40" spans="1:3" x14ac:dyDescent="0.2">
      <c r="A40" s="1251" t="s">
        <v>1531</v>
      </c>
      <c r="B40" s="1251" t="s">
        <v>1532</v>
      </c>
      <c r="C40" s="1252">
        <v>1</v>
      </c>
    </row>
    <row r="41" spans="1:3" x14ac:dyDescent="0.2">
      <c r="A41" s="1251" t="s">
        <v>1533</v>
      </c>
      <c r="B41" s="1251" t="s">
        <v>1534</v>
      </c>
      <c r="C41" s="1252">
        <v>1</v>
      </c>
    </row>
    <row r="42" spans="1:3" x14ac:dyDescent="0.2">
      <c r="A42" s="1251" t="s">
        <v>1535</v>
      </c>
      <c r="B42" s="1251" t="s">
        <v>1536</v>
      </c>
      <c r="C42" s="1252">
        <v>1</v>
      </c>
    </row>
    <row r="43" spans="1:3" x14ac:dyDescent="0.2">
      <c r="A43" s="1251" t="s">
        <v>1537</v>
      </c>
      <c r="B43" s="1251" t="s">
        <v>1538</v>
      </c>
      <c r="C43" s="1252">
        <v>1</v>
      </c>
    </row>
    <row r="44" spans="1:3" x14ac:dyDescent="0.2">
      <c r="A44" s="1251" t="s">
        <v>1555</v>
      </c>
      <c r="B44" s="1251" t="s">
        <v>1556</v>
      </c>
      <c r="C44" s="1252">
        <v>1</v>
      </c>
    </row>
    <row r="45" spans="1:3" x14ac:dyDescent="0.2">
      <c r="A45" s="1251" t="s">
        <v>1559</v>
      </c>
      <c r="B45" s="1251" t="s">
        <v>1560</v>
      </c>
      <c r="C45" s="1252">
        <v>1</v>
      </c>
    </row>
    <row r="46" spans="1:3" x14ac:dyDescent="0.2">
      <c r="A46" s="1251" t="s">
        <v>1561</v>
      </c>
      <c r="B46" s="1251" t="s">
        <v>1562</v>
      </c>
      <c r="C46" s="1252">
        <v>1</v>
      </c>
    </row>
    <row r="47" spans="1:3" x14ac:dyDescent="0.2">
      <c r="A47" s="1251" t="s">
        <v>1563</v>
      </c>
      <c r="B47" s="1251" t="s">
        <v>1564</v>
      </c>
      <c r="C47" s="1252">
        <v>1</v>
      </c>
    </row>
    <row r="48" spans="1:3" x14ac:dyDescent="0.2">
      <c r="A48" s="1251" t="s">
        <v>1565</v>
      </c>
      <c r="B48" s="1251" t="s">
        <v>1566</v>
      </c>
      <c r="C48" s="1252">
        <v>1</v>
      </c>
    </row>
    <row r="49" spans="1:3" x14ac:dyDescent="0.2">
      <c r="A49" s="1251" t="s">
        <v>1577</v>
      </c>
      <c r="B49" s="1251" t="s">
        <v>1578</v>
      </c>
      <c r="C49" s="1252">
        <v>1</v>
      </c>
    </row>
    <row r="50" spans="1:3" x14ac:dyDescent="0.2">
      <c r="A50" s="1251" t="s">
        <v>1581</v>
      </c>
      <c r="B50" s="1251" t="s">
        <v>1582</v>
      </c>
      <c r="C50" s="1252">
        <v>1</v>
      </c>
    </row>
    <row r="51" spans="1:3" x14ac:dyDescent="0.2">
      <c r="A51" s="1251" t="s">
        <v>1587</v>
      </c>
      <c r="B51" s="1251" t="s">
        <v>1588</v>
      </c>
      <c r="C51" s="1252">
        <v>1</v>
      </c>
    </row>
    <row r="52" spans="1:3" x14ac:dyDescent="0.2">
      <c r="A52" s="1251" t="s">
        <v>1589</v>
      </c>
      <c r="B52" s="1251" t="s">
        <v>1590</v>
      </c>
      <c r="C52" s="1252">
        <v>1</v>
      </c>
    </row>
    <row r="53" spans="1:3" x14ac:dyDescent="0.2">
      <c r="A53" s="1251" t="s">
        <v>1591</v>
      </c>
      <c r="B53" s="1251" t="s">
        <v>1592</v>
      </c>
      <c r="C53" s="1252">
        <v>1</v>
      </c>
    </row>
    <row r="54" spans="1:3" x14ac:dyDescent="0.2">
      <c r="A54" s="1251" t="s">
        <v>1593</v>
      </c>
      <c r="B54" s="1251" t="s">
        <v>1594</v>
      </c>
      <c r="C54" s="1252">
        <v>1</v>
      </c>
    </row>
    <row r="55" spans="1:3" x14ac:dyDescent="0.2">
      <c r="A55" s="1251" t="s">
        <v>1597</v>
      </c>
      <c r="B55" s="1251" t="s">
        <v>1598</v>
      </c>
      <c r="C55" s="1252">
        <v>1</v>
      </c>
    </row>
    <row r="56" spans="1:3" x14ac:dyDescent="0.2">
      <c r="A56" s="1251" t="s">
        <v>1599</v>
      </c>
      <c r="B56" s="1251" t="s">
        <v>1600</v>
      </c>
      <c r="C56" s="1252">
        <v>1</v>
      </c>
    </row>
    <row r="57" spans="1:3" x14ac:dyDescent="0.2">
      <c r="A57" s="1251" t="s">
        <v>1603</v>
      </c>
      <c r="B57" s="1251" t="s">
        <v>1604</v>
      </c>
      <c r="C57" s="1252">
        <v>1</v>
      </c>
    </row>
    <row r="58" spans="1:3" x14ac:dyDescent="0.2">
      <c r="A58" s="1251" t="s">
        <v>1605</v>
      </c>
      <c r="B58" s="1251" t="s">
        <v>1606</v>
      </c>
      <c r="C58" s="1252">
        <v>1</v>
      </c>
    </row>
    <row r="59" spans="1:3" x14ac:dyDescent="0.2">
      <c r="A59" s="1251" t="s">
        <v>1607</v>
      </c>
      <c r="B59" s="1251" t="s">
        <v>1606</v>
      </c>
      <c r="C59" s="1252">
        <v>1</v>
      </c>
    </row>
    <row r="60" spans="1:3" x14ac:dyDescent="0.2">
      <c r="A60" s="1251" t="s">
        <v>1608</v>
      </c>
      <c r="B60" s="1251" t="s">
        <v>1609</v>
      </c>
      <c r="C60" s="1252">
        <v>1</v>
      </c>
    </row>
    <row r="61" spans="1:3" x14ac:dyDescent="0.2">
      <c r="A61" s="1251" t="s">
        <v>1610</v>
      </c>
      <c r="B61" s="1251" t="s">
        <v>1611</v>
      </c>
      <c r="C61" s="1252">
        <v>1</v>
      </c>
    </row>
    <row r="62" spans="1:3" x14ac:dyDescent="0.2">
      <c r="A62" s="1251" t="s">
        <v>1612</v>
      </c>
      <c r="B62" s="1251" t="s">
        <v>1613</v>
      </c>
      <c r="C62" s="1252">
        <v>1</v>
      </c>
    </row>
    <row r="63" spans="1:3" x14ac:dyDescent="0.2">
      <c r="A63" s="1251" t="s">
        <v>1626</v>
      </c>
      <c r="B63" s="1251" t="s">
        <v>1627</v>
      </c>
      <c r="C63" s="1252">
        <v>1</v>
      </c>
    </row>
    <row r="64" spans="1:3" x14ac:dyDescent="0.2">
      <c r="A64" s="1251" t="s">
        <v>1630</v>
      </c>
      <c r="B64" s="1251" t="s">
        <v>1631</v>
      </c>
      <c r="C64" s="1252">
        <v>1</v>
      </c>
    </row>
    <row r="65" spans="1:3" x14ac:dyDescent="0.2">
      <c r="A65" s="1251" t="s">
        <v>1634</v>
      </c>
      <c r="B65" s="1251" t="s">
        <v>1635</v>
      </c>
      <c r="C65" s="1252">
        <v>1</v>
      </c>
    </row>
    <row r="66" spans="1:3" x14ac:dyDescent="0.2">
      <c r="A66" s="1251" t="s">
        <v>1363</v>
      </c>
      <c r="B66" s="1251" t="s">
        <v>1364</v>
      </c>
      <c r="C66" s="1252"/>
    </row>
    <row r="67" spans="1:3" x14ac:dyDescent="0.2">
      <c r="A67" s="1251" t="s">
        <v>1365</v>
      </c>
      <c r="B67" s="1251" t="s">
        <v>1366</v>
      </c>
      <c r="C67" s="1252"/>
    </row>
    <row r="68" spans="1:3" x14ac:dyDescent="0.2">
      <c r="A68" s="1251" t="s">
        <v>1369</v>
      </c>
      <c r="B68" s="1251" t="s">
        <v>1370</v>
      </c>
      <c r="C68" s="1252"/>
    </row>
    <row r="69" spans="1:3" x14ac:dyDescent="0.2">
      <c r="A69" s="1251" t="s">
        <v>1371</v>
      </c>
      <c r="B69" s="1251" t="s">
        <v>1372</v>
      </c>
      <c r="C69" s="1252"/>
    </row>
    <row r="70" spans="1:3" x14ac:dyDescent="0.2">
      <c r="A70" s="1251" t="s">
        <v>1373</v>
      </c>
      <c r="B70" s="1251" t="s">
        <v>1374</v>
      </c>
      <c r="C70" s="1252"/>
    </row>
    <row r="71" spans="1:3" x14ac:dyDescent="0.2">
      <c r="A71" s="1251" t="s">
        <v>1379</v>
      </c>
      <c r="B71" s="1251" t="s">
        <v>1380</v>
      </c>
      <c r="C71" s="1252"/>
    </row>
    <row r="72" spans="1:3" x14ac:dyDescent="0.2">
      <c r="A72" s="1251" t="s">
        <v>1381</v>
      </c>
      <c r="B72" s="1251" t="s">
        <v>1382</v>
      </c>
      <c r="C72" s="1252"/>
    </row>
    <row r="73" spans="1:3" x14ac:dyDescent="0.2">
      <c r="A73" s="1251" t="s">
        <v>1383</v>
      </c>
      <c r="B73" s="1251" t="s">
        <v>1384</v>
      </c>
      <c r="C73" s="1252"/>
    </row>
    <row r="74" spans="1:3" x14ac:dyDescent="0.2">
      <c r="A74" s="1251" t="s">
        <v>1385</v>
      </c>
      <c r="B74" s="1251" t="s">
        <v>1386</v>
      </c>
      <c r="C74" s="1252"/>
    </row>
    <row r="75" spans="1:3" x14ac:dyDescent="0.2">
      <c r="A75" s="1251" t="s">
        <v>1387</v>
      </c>
      <c r="B75" s="1251" t="s">
        <v>1388</v>
      </c>
      <c r="C75" s="1252"/>
    </row>
    <row r="76" spans="1:3" x14ac:dyDescent="0.2">
      <c r="A76" s="1251" t="s">
        <v>1389</v>
      </c>
      <c r="B76" s="1251" t="s">
        <v>1390</v>
      </c>
      <c r="C76" s="1252"/>
    </row>
    <row r="77" spans="1:3" x14ac:dyDescent="0.2">
      <c r="A77" s="1251" t="s">
        <v>1391</v>
      </c>
      <c r="B77" s="1251" t="s">
        <v>1392</v>
      </c>
      <c r="C77" s="1252"/>
    </row>
    <row r="78" spans="1:3" x14ac:dyDescent="0.2">
      <c r="A78" s="1251" t="s">
        <v>1393</v>
      </c>
      <c r="B78" s="1251" t="s">
        <v>1394</v>
      </c>
      <c r="C78" s="1252"/>
    </row>
    <row r="79" spans="1:3" x14ac:dyDescent="0.2">
      <c r="A79" s="1251" t="s">
        <v>1395</v>
      </c>
      <c r="B79" s="1251" t="s">
        <v>1396</v>
      </c>
      <c r="C79" s="1252"/>
    </row>
    <row r="80" spans="1:3" x14ac:dyDescent="0.2">
      <c r="A80" s="1251" t="s">
        <v>1397</v>
      </c>
      <c r="B80" s="1251" t="s">
        <v>1398</v>
      </c>
      <c r="C80" s="1252"/>
    </row>
    <row r="81" spans="1:3" x14ac:dyDescent="0.2">
      <c r="A81" s="1251" t="s">
        <v>1399</v>
      </c>
      <c r="B81" s="1251" t="s">
        <v>1400</v>
      </c>
      <c r="C81" s="1252"/>
    </row>
    <row r="82" spans="1:3" x14ac:dyDescent="0.2">
      <c r="A82" s="1251" t="s">
        <v>1401</v>
      </c>
      <c r="B82" s="1251" t="s">
        <v>1402</v>
      </c>
      <c r="C82" s="1252"/>
    </row>
    <row r="83" spans="1:3" x14ac:dyDescent="0.2">
      <c r="A83" s="1251" t="s">
        <v>1403</v>
      </c>
      <c r="B83" s="1251" t="s">
        <v>1404</v>
      </c>
      <c r="C83" s="1252"/>
    </row>
    <row r="84" spans="1:3" x14ac:dyDescent="0.2">
      <c r="A84" s="1251" t="s">
        <v>1407</v>
      </c>
      <c r="B84" s="1251" t="s">
        <v>1408</v>
      </c>
      <c r="C84" s="1252"/>
    </row>
    <row r="85" spans="1:3" x14ac:dyDescent="0.2">
      <c r="A85" s="1251" t="s">
        <v>1439</v>
      </c>
      <c r="B85" s="1251" t="s">
        <v>1440</v>
      </c>
      <c r="C85" s="1252"/>
    </row>
    <row r="86" spans="1:3" x14ac:dyDescent="0.2">
      <c r="A86" s="1251" t="s">
        <v>1441</v>
      </c>
      <c r="B86" s="1251" t="s">
        <v>1442</v>
      </c>
      <c r="C86" s="1252"/>
    </row>
    <row r="87" spans="1:3" x14ac:dyDescent="0.2">
      <c r="A87" s="1251" t="s">
        <v>1443</v>
      </c>
      <c r="B87" s="1251" t="s">
        <v>1444</v>
      </c>
      <c r="C87" s="1252"/>
    </row>
    <row r="88" spans="1:3" x14ac:dyDescent="0.2">
      <c r="A88" s="1251" t="s">
        <v>1445</v>
      </c>
      <c r="B88" s="1251" t="s">
        <v>1446</v>
      </c>
      <c r="C88" s="1252"/>
    </row>
    <row r="89" spans="1:3" x14ac:dyDescent="0.2">
      <c r="A89" s="1251" t="s">
        <v>1449</v>
      </c>
      <c r="B89" s="1251" t="s">
        <v>1450</v>
      </c>
      <c r="C89" s="1252"/>
    </row>
    <row r="90" spans="1:3" x14ac:dyDescent="0.2">
      <c r="A90" s="1251" t="s">
        <v>1451</v>
      </c>
      <c r="B90" s="1251" t="s">
        <v>1452</v>
      </c>
      <c r="C90" s="1252"/>
    </row>
    <row r="91" spans="1:3" x14ac:dyDescent="0.2">
      <c r="A91" s="1251" t="s">
        <v>1453</v>
      </c>
      <c r="B91" s="1251" t="s">
        <v>1454</v>
      </c>
      <c r="C91" s="1252"/>
    </row>
    <row r="92" spans="1:3" x14ac:dyDescent="0.2">
      <c r="A92" s="1251" t="s">
        <v>1455</v>
      </c>
      <c r="B92" s="1251" t="s">
        <v>1456</v>
      </c>
      <c r="C92" s="1252"/>
    </row>
    <row r="93" spans="1:3" x14ac:dyDescent="0.2">
      <c r="A93" s="1251" t="s">
        <v>1465</v>
      </c>
      <c r="B93" s="1251" t="s">
        <v>1466</v>
      </c>
      <c r="C93" s="1252"/>
    </row>
    <row r="94" spans="1:3" x14ac:dyDescent="0.2">
      <c r="A94" s="1251" t="s">
        <v>1467</v>
      </c>
      <c r="B94" s="1251" t="s">
        <v>1466</v>
      </c>
      <c r="C94" s="1252"/>
    </row>
    <row r="95" spans="1:3" x14ac:dyDescent="0.2">
      <c r="A95" s="1251" t="s">
        <v>1468</v>
      </c>
      <c r="B95" s="1251" t="s">
        <v>1466</v>
      </c>
      <c r="C95" s="1252"/>
    </row>
    <row r="96" spans="1:3" x14ac:dyDescent="0.2">
      <c r="A96" s="1251" t="s">
        <v>1469</v>
      </c>
      <c r="B96" s="1251" t="s">
        <v>1466</v>
      </c>
      <c r="C96" s="1252"/>
    </row>
    <row r="97" spans="1:3" x14ac:dyDescent="0.2">
      <c r="A97" s="1251" t="s">
        <v>1470</v>
      </c>
      <c r="B97" s="1251" t="s">
        <v>1471</v>
      </c>
      <c r="C97" s="1252"/>
    </row>
    <row r="98" spans="1:3" x14ac:dyDescent="0.2">
      <c r="A98" s="1251" t="s">
        <v>1472</v>
      </c>
      <c r="B98" s="1251" t="s">
        <v>1473</v>
      </c>
      <c r="C98" s="1252"/>
    </row>
    <row r="99" spans="1:3" x14ac:dyDescent="0.2">
      <c r="A99" s="1251" t="s">
        <v>1476</v>
      </c>
      <c r="B99" s="1251" t="s">
        <v>1477</v>
      </c>
      <c r="C99" s="1252"/>
    </row>
    <row r="100" spans="1:3" x14ac:dyDescent="0.2">
      <c r="A100" s="1251" t="s">
        <v>1478</v>
      </c>
      <c r="B100" s="1251" t="s">
        <v>1479</v>
      </c>
      <c r="C100" s="1252"/>
    </row>
    <row r="101" spans="1:3" x14ac:dyDescent="0.2">
      <c r="A101" s="1251" t="s">
        <v>1480</v>
      </c>
      <c r="B101" s="1251" t="s">
        <v>1481</v>
      </c>
      <c r="C101" s="1252"/>
    </row>
    <row r="102" spans="1:3" x14ac:dyDescent="0.2">
      <c r="A102" s="1251" t="s">
        <v>1484</v>
      </c>
      <c r="B102" s="1251" t="s">
        <v>1485</v>
      </c>
      <c r="C102" s="1252"/>
    </row>
    <row r="103" spans="1:3" x14ac:dyDescent="0.2">
      <c r="A103" s="1251" t="s">
        <v>1486</v>
      </c>
      <c r="B103" s="1251" t="s">
        <v>1487</v>
      </c>
      <c r="C103" s="1252"/>
    </row>
    <row r="104" spans="1:3" x14ac:dyDescent="0.2">
      <c r="A104" s="1251" t="s">
        <v>1488</v>
      </c>
      <c r="B104" s="1251" t="s">
        <v>1489</v>
      </c>
      <c r="C104" s="1252"/>
    </row>
    <row r="105" spans="1:3" x14ac:dyDescent="0.2">
      <c r="A105" s="1251" t="s">
        <v>1490</v>
      </c>
      <c r="B105" s="1251" t="s">
        <v>1491</v>
      </c>
      <c r="C105" s="1252"/>
    </row>
    <row r="106" spans="1:3" x14ac:dyDescent="0.2">
      <c r="A106" s="1251" t="s">
        <v>1498</v>
      </c>
      <c r="B106" s="1251" t="s">
        <v>1499</v>
      </c>
      <c r="C106" s="1252"/>
    </row>
    <row r="107" spans="1:3" x14ac:dyDescent="0.2">
      <c r="A107" s="1251" t="s">
        <v>1500</v>
      </c>
      <c r="B107" s="1251" t="s">
        <v>1501</v>
      </c>
      <c r="C107" s="1252"/>
    </row>
    <row r="108" spans="1:3" x14ac:dyDescent="0.2">
      <c r="A108" s="1251" t="s">
        <v>1502</v>
      </c>
      <c r="B108" s="1251" t="s">
        <v>1503</v>
      </c>
      <c r="C108" s="1252"/>
    </row>
    <row r="109" spans="1:3" x14ac:dyDescent="0.2">
      <c r="A109" s="1251" t="s">
        <v>1506</v>
      </c>
      <c r="B109" s="1251" t="s">
        <v>1507</v>
      </c>
      <c r="C109" s="1252"/>
    </row>
    <row r="110" spans="1:3" x14ac:dyDescent="0.2">
      <c r="A110" s="1251" t="s">
        <v>1510</v>
      </c>
      <c r="B110" s="1251" t="s">
        <v>1511</v>
      </c>
      <c r="C110" s="1252"/>
    </row>
    <row r="111" spans="1:3" x14ac:dyDescent="0.2">
      <c r="A111" s="1251" t="s">
        <v>1525</v>
      </c>
      <c r="B111" s="1251" t="s">
        <v>1526</v>
      </c>
      <c r="C111" s="1252"/>
    </row>
    <row r="112" spans="1:3" x14ac:dyDescent="0.2">
      <c r="A112" s="1251" t="s">
        <v>1527</v>
      </c>
      <c r="B112" s="1251" t="s">
        <v>1528</v>
      </c>
      <c r="C112" s="1252"/>
    </row>
    <row r="113" spans="1:3" x14ac:dyDescent="0.2">
      <c r="A113" s="1251" t="s">
        <v>1529</v>
      </c>
      <c r="B113" s="1251" t="s">
        <v>1530</v>
      </c>
      <c r="C113" s="1252"/>
    </row>
    <row r="114" spans="1:3" x14ac:dyDescent="0.2">
      <c r="A114" s="1251" t="s">
        <v>1539</v>
      </c>
      <c r="B114" s="1251" t="s">
        <v>1540</v>
      </c>
      <c r="C114" s="1252"/>
    </row>
    <row r="115" spans="1:3" x14ac:dyDescent="0.2">
      <c r="A115" s="1251" t="s">
        <v>1541</v>
      </c>
      <c r="B115" s="1251" t="s">
        <v>1542</v>
      </c>
      <c r="C115" s="1252"/>
    </row>
    <row r="116" spans="1:3" x14ac:dyDescent="0.2">
      <c r="A116" s="1251" t="s">
        <v>1543</v>
      </c>
      <c r="B116" s="1251" t="s">
        <v>1544</v>
      </c>
      <c r="C116" s="1252"/>
    </row>
    <row r="117" spans="1:3" x14ac:dyDescent="0.2">
      <c r="A117" s="1251" t="s">
        <v>1545</v>
      </c>
      <c r="B117" s="1251" t="s">
        <v>1546</v>
      </c>
      <c r="C117" s="1252"/>
    </row>
    <row r="118" spans="1:3" x14ac:dyDescent="0.2">
      <c r="A118" s="1251" t="s">
        <v>1547</v>
      </c>
      <c r="B118" s="1251" t="s">
        <v>1548</v>
      </c>
      <c r="C118" s="1252"/>
    </row>
    <row r="119" spans="1:3" x14ac:dyDescent="0.2">
      <c r="A119" s="1251" t="s">
        <v>1549</v>
      </c>
      <c r="B119" s="1251" t="s">
        <v>1550</v>
      </c>
      <c r="C119" s="1252"/>
    </row>
    <row r="120" spans="1:3" x14ac:dyDescent="0.2">
      <c r="A120" s="1251" t="s">
        <v>1551</v>
      </c>
      <c r="B120" s="1251" t="s">
        <v>1552</v>
      </c>
      <c r="C120" s="1252"/>
    </row>
    <row r="121" spans="1:3" x14ac:dyDescent="0.2">
      <c r="A121" s="1251" t="s">
        <v>1553</v>
      </c>
      <c r="B121" s="1251" t="s">
        <v>1554</v>
      </c>
      <c r="C121" s="1252"/>
    </row>
    <row r="122" spans="1:3" x14ac:dyDescent="0.2">
      <c r="A122" s="1251" t="s">
        <v>1557</v>
      </c>
      <c r="B122" s="1251" t="s">
        <v>1558</v>
      </c>
      <c r="C122" s="1252"/>
    </row>
    <row r="123" spans="1:3" x14ac:dyDescent="0.2">
      <c r="A123" s="1251" t="s">
        <v>1567</v>
      </c>
      <c r="B123" s="1251" t="s">
        <v>1568</v>
      </c>
      <c r="C123" s="1252"/>
    </row>
    <row r="124" spans="1:3" x14ac:dyDescent="0.2">
      <c r="A124" s="1251" t="s">
        <v>1569</v>
      </c>
      <c r="B124" s="1251" t="s">
        <v>1570</v>
      </c>
      <c r="C124" s="1252"/>
    </row>
    <row r="125" spans="1:3" x14ac:dyDescent="0.2">
      <c r="A125" s="1251" t="s">
        <v>1571</v>
      </c>
      <c r="B125" s="1251" t="s">
        <v>1572</v>
      </c>
      <c r="C125" s="1252"/>
    </row>
    <row r="126" spans="1:3" x14ac:dyDescent="0.2">
      <c r="A126" s="1251" t="s">
        <v>1573</v>
      </c>
      <c r="B126" s="1251" t="s">
        <v>1574</v>
      </c>
      <c r="C126" s="1252"/>
    </row>
    <row r="127" spans="1:3" x14ac:dyDescent="0.2">
      <c r="A127" s="1251" t="s">
        <v>1575</v>
      </c>
      <c r="B127" s="1251" t="s">
        <v>1576</v>
      </c>
      <c r="C127" s="1252"/>
    </row>
    <row r="128" spans="1:3" x14ac:dyDescent="0.2">
      <c r="A128" s="1251" t="s">
        <v>1579</v>
      </c>
      <c r="B128" s="1251" t="s">
        <v>1580</v>
      </c>
      <c r="C128" s="1252"/>
    </row>
    <row r="129" spans="1:3" x14ac:dyDescent="0.2">
      <c r="A129" s="1251" t="s">
        <v>1583</v>
      </c>
      <c r="B129" s="1251" t="s">
        <v>1584</v>
      </c>
      <c r="C129" s="1252"/>
    </row>
    <row r="130" spans="1:3" x14ac:dyDescent="0.2">
      <c r="A130" s="1251" t="s">
        <v>1585</v>
      </c>
      <c r="B130" s="1251" t="s">
        <v>1586</v>
      </c>
      <c r="C130" s="1252"/>
    </row>
    <row r="131" spans="1:3" x14ac:dyDescent="0.2">
      <c r="A131" s="1251" t="s">
        <v>1595</v>
      </c>
      <c r="B131" s="1251" t="s">
        <v>1596</v>
      </c>
      <c r="C131" s="1252"/>
    </row>
    <row r="132" spans="1:3" x14ac:dyDescent="0.2">
      <c r="A132" s="1251" t="s">
        <v>1601</v>
      </c>
      <c r="B132" s="1251" t="s">
        <v>1602</v>
      </c>
      <c r="C132" s="1252"/>
    </row>
    <row r="133" spans="1:3" x14ac:dyDescent="0.2">
      <c r="A133" s="1251" t="s">
        <v>1614</v>
      </c>
      <c r="B133" s="1251" t="s">
        <v>1615</v>
      </c>
      <c r="C133" s="1252"/>
    </row>
    <row r="134" spans="1:3" x14ac:dyDescent="0.2">
      <c r="A134" s="1251" t="s">
        <v>1616</v>
      </c>
      <c r="B134" s="1251" t="s">
        <v>1617</v>
      </c>
      <c r="C134" s="1252"/>
    </row>
    <row r="135" spans="1:3" x14ac:dyDescent="0.2">
      <c r="A135" s="1251" t="s">
        <v>1618</v>
      </c>
      <c r="B135" s="1251" t="s">
        <v>1619</v>
      </c>
      <c r="C135" s="1252"/>
    </row>
    <row r="136" spans="1:3" x14ac:dyDescent="0.2">
      <c r="A136" s="1251" t="s">
        <v>1620</v>
      </c>
      <c r="B136" s="1251" t="s">
        <v>1621</v>
      </c>
      <c r="C136" s="1252"/>
    </row>
    <row r="137" spans="1:3" x14ac:dyDescent="0.2">
      <c r="A137" s="1251" t="s">
        <v>1622</v>
      </c>
      <c r="B137" s="1251" t="s">
        <v>1623</v>
      </c>
      <c r="C137" s="1252"/>
    </row>
    <row r="138" spans="1:3" x14ac:dyDescent="0.2">
      <c r="A138" s="1251" t="s">
        <v>1624</v>
      </c>
      <c r="B138" s="1251" t="s">
        <v>1625</v>
      </c>
      <c r="C138" s="1252"/>
    </row>
    <row r="139" spans="1:3" x14ac:dyDescent="0.2">
      <c r="A139" s="1251" t="s">
        <v>1628</v>
      </c>
      <c r="B139" s="1251" t="s">
        <v>1629</v>
      </c>
      <c r="C139" s="1252"/>
    </row>
    <row r="140" spans="1:3" x14ac:dyDescent="0.2">
      <c r="A140" s="1251" t="s">
        <v>1632</v>
      </c>
      <c r="B140" s="1251" t="s">
        <v>1633</v>
      </c>
      <c r="C140" s="1252"/>
    </row>
    <row r="141" spans="1:3" x14ac:dyDescent="0.2">
      <c r="A141"/>
      <c r="B141"/>
      <c r="C141"/>
    </row>
    <row r="142" spans="1:3" x14ac:dyDescent="0.2">
      <c r="A142"/>
      <c r="B142"/>
      <c r="C142"/>
    </row>
    <row r="143" spans="1:3" x14ac:dyDescent="0.2">
      <c r="A143"/>
      <c r="B143"/>
      <c r="C143"/>
    </row>
    <row r="144" spans="1:3" x14ac:dyDescent="0.2">
      <c r="A144"/>
      <c r="B144"/>
      <c r="C144"/>
    </row>
    <row r="145" spans="1:3" x14ac:dyDescent="0.2">
      <c r="A145"/>
      <c r="B145"/>
      <c r="C145"/>
    </row>
    <row r="146" spans="1:3" x14ac:dyDescent="0.2">
      <c r="A146"/>
      <c r="B146"/>
      <c r="C146"/>
    </row>
    <row r="147" spans="1:3" x14ac:dyDescent="0.2">
      <c r="A147"/>
      <c r="B147"/>
      <c r="C147"/>
    </row>
    <row r="148" spans="1:3" x14ac:dyDescent="0.2">
      <c r="A148"/>
      <c r="B148"/>
      <c r="C148"/>
    </row>
    <row r="149" spans="1:3" x14ac:dyDescent="0.2">
      <c r="A149"/>
      <c r="B149"/>
      <c r="C149"/>
    </row>
    <row r="150" spans="1:3" x14ac:dyDescent="0.2">
      <c r="A150"/>
      <c r="B150"/>
      <c r="C150"/>
    </row>
    <row r="151" spans="1:3" x14ac:dyDescent="0.2">
      <c r="A151"/>
      <c r="B151"/>
      <c r="C151"/>
    </row>
    <row r="152" spans="1:3" x14ac:dyDescent="0.2">
      <c r="A152"/>
      <c r="B152"/>
      <c r="C152"/>
    </row>
    <row r="153" spans="1:3" x14ac:dyDescent="0.2">
      <c r="A153"/>
      <c r="B153"/>
      <c r="C153"/>
    </row>
    <row r="154" spans="1:3" x14ac:dyDescent="0.2">
      <c r="A154"/>
      <c r="B154"/>
      <c r="C154"/>
    </row>
    <row r="155" spans="1:3" x14ac:dyDescent="0.2">
      <c r="A155"/>
      <c r="B155"/>
      <c r="C155"/>
    </row>
    <row r="156" spans="1:3" x14ac:dyDescent="0.2">
      <c r="A156"/>
      <c r="B156"/>
      <c r="C156"/>
    </row>
    <row r="157" spans="1:3" x14ac:dyDescent="0.2">
      <c r="A157"/>
      <c r="B157"/>
      <c r="C157"/>
    </row>
    <row r="158" spans="1:3" x14ac:dyDescent="0.2">
      <c r="A158"/>
      <c r="B158"/>
      <c r="C158"/>
    </row>
    <row r="159" spans="1:3" x14ac:dyDescent="0.2">
      <c r="A159"/>
      <c r="B159"/>
      <c r="C159"/>
    </row>
    <row r="160" spans="1:3" x14ac:dyDescent="0.2">
      <c r="A160"/>
      <c r="B160"/>
      <c r="C160"/>
    </row>
    <row r="161" spans="1:3" x14ac:dyDescent="0.2">
      <c r="A161"/>
      <c r="B161"/>
      <c r="C161"/>
    </row>
    <row r="162" spans="1:3" x14ac:dyDescent="0.2">
      <c r="A162"/>
      <c r="B162"/>
      <c r="C162"/>
    </row>
    <row r="163" spans="1:3" x14ac:dyDescent="0.2">
      <c r="A163"/>
      <c r="B163"/>
      <c r="C163"/>
    </row>
    <row r="164" spans="1:3" x14ac:dyDescent="0.2">
      <c r="A164"/>
      <c r="B164"/>
      <c r="C164"/>
    </row>
    <row r="165" spans="1:3" x14ac:dyDescent="0.2">
      <c r="A165"/>
      <c r="B165"/>
      <c r="C165"/>
    </row>
    <row r="166" spans="1:3" x14ac:dyDescent="0.2">
      <c r="A166"/>
      <c r="B166"/>
      <c r="C166"/>
    </row>
    <row r="167" spans="1:3" x14ac:dyDescent="0.2">
      <c r="A167"/>
      <c r="B167"/>
      <c r="C167"/>
    </row>
    <row r="168" spans="1:3" x14ac:dyDescent="0.2">
      <c r="A168"/>
      <c r="B168"/>
      <c r="C168"/>
    </row>
    <row r="169" spans="1:3" x14ac:dyDescent="0.2">
      <c r="A169"/>
      <c r="B169"/>
      <c r="C169"/>
    </row>
    <row r="170" spans="1:3" x14ac:dyDescent="0.2">
      <c r="A170"/>
      <c r="B170"/>
      <c r="C170"/>
    </row>
    <row r="171" spans="1:3" x14ac:dyDescent="0.2">
      <c r="A171"/>
      <c r="B171"/>
      <c r="C171"/>
    </row>
    <row r="172" spans="1:3" x14ac:dyDescent="0.2">
      <c r="A172"/>
      <c r="B172"/>
      <c r="C172"/>
    </row>
    <row r="173" spans="1:3" x14ac:dyDescent="0.2">
      <c r="A173"/>
      <c r="B173"/>
      <c r="C173"/>
    </row>
    <row r="174" spans="1:3" x14ac:dyDescent="0.2">
      <c r="A174"/>
      <c r="B174"/>
      <c r="C174"/>
    </row>
    <row r="175" spans="1:3" x14ac:dyDescent="0.2">
      <c r="A175"/>
      <c r="B175"/>
      <c r="C175"/>
    </row>
    <row r="176" spans="1:3" x14ac:dyDescent="0.2">
      <c r="A176"/>
      <c r="B176"/>
      <c r="C176"/>
    </row>
    <row r="177" spans="1:3" x14ac:dyDescent="0.2">
      <c r="A177"/>
      <c r="B177"/>
      <c r="C177"/>
    </row>
    <row r="178" spans="1:3" x14ac:dyDescent="0.2">
      <c r="A178"/>
      <c r="B178"/>
      <c r="C178"/>
    </row>
    <row r="179" spans="1:3" x14ac:dyDescent="0.2">
      <c r="A179"/>
      <c r="B179"/>
      <c r="C179"/>
    </row>
    <row r="180" spans="1:3" x14ac:dyDescent="0.2">
      <c r="A180"/>
      <c r="B180"/>
      <c r="C180"/>
    </row>
    <row r="181" spans="1:3" x14ac:dyDescent="0.2">
      <c r="A181"/>
      <c r="B181"/>
      <c r="C181"/>
    </row>
    <row r="182" spans="1:3" x14ac:dyDescent="0.2">
      <c r="A182"/>
      <c r="B182"/>
      <c r="C182"/>
    </row>
    <row r="183" spans="1:3" x14ac:dyDescent="0.2">
      <c r="A183"/>
      <c r="B183"/>
      <c r="C183"/>
    </row>
    <row r="184" spans="1:3" x14ac:dyDescent="0.2">
      <c r="A184"/>
      <c r="B184"/>
      <c r="C184"/>
    </row>
    <row r="185" spans="1:3" x14ac:dyDescent="0.2">
      <c r="A185"/>
      <c r="B185"/>
      <c r="C185"/>
    </row>
    <row r="186" spans="1:3" x14ac:dyDescent="0.2">
      <c r="A186"/>
      <c r="B186"/>
      <c r="C186"/>
    </row>
    <row r="187" spans="1:3" x14ac:dyDescent="0.2">
      <c r="A187"/>
      <c r="B187"/>
      <c r="C187"/>
    </row>
    <row r="188" spans="1:3" x14ac:dyDescent="0.2">
      <c r="A188"/>
      <c r="B188"/>
      <c r="C188"/>
    </row>
    <row r="189" spans="1:3" x14ac:dyDescent="0.2">
      <c r="A189"/>
      <c r="B189"/>
      <c r="C189"/>
    </row>
    <row r="190" spans="1:3" x14ac:dyDescent="0.2">
      <c r="A190"/>
      <c r="B190"/>
      <c r="C190"/>
    </row>
    <row r="191" spans="1:3" x14ac:dyDescent="0.2">
      <c r="A191"/>
      <c r="B191"/>
      <c r="C191"/>
    </row>
    <row r="192" spans="1:3" x14ac:dyDescent="0.2">
      <c r="A192"/>
      <c r="B192"/>
      <c r="C192"/>
    </row>
    <row r="193" spans="1:3" x14ac:dyDescent="0.2">
      <c r="A193"/>
      <c r="B193"/>
      <c r="C193"/>
    </row>
    <row r="194" spans="1:3" x14ac:dyDescent="0.2">
      <c r="A194"/>
      <c r="B194"/>
      <c r="C194"/>
    </row>
    <row r="195" spans="1:3" x14ac:dyDescent="0.2">
      <c r="A195"/>
      <c r="B195"/>
      <c r="C195"/>
    </row>
    <row r="196" spans="1:3" x14ac:dyDescent="0.2">
      <c r="A196"/>
      <c r="B196"/>
      <c r="C196"/>
    </row>
    <row r="197" spans="1:3" x14ac:dyDescent="0.2">
      <c r="A197"/>
      <c r="B197"/>
      <c r="C197"/>
    </row>
    <row r="198" spans="1:3" x14ac:dyDescent="0.2">
      <c r="A198"/>
      <c r="B198"/>
      <c r="C198"/>
    </row>
    <row r="199" spans="1:3" x14ac:dyDescent="0.2">
      <c r="A199"/>
      <c r="B199"/>
      <c r="C199"/>
    </row>
    <row r="200" spans="1:3" x14ac:dyDescent="0.2">
      <c r="A200"/>
      <c r="B200"/>
      <c r="C200"/>
    </row>
    <row r="201" spans="1:3" x14ac:dyDescent="0.2">
      <c r="A201"/>
      <c r="B201"/>
      <c r="C201"/>
    </row>
    <row r="202" spans="1:3" x14ac:dyDescent="0.2">
      <c r="A202"/>
      <c r="B202"/>
      <c r="C202"/>
    </row>
    <row r="203" spans="1:3" x14ac:dyDescent="0.2">
      <c r="A203"/>
      <c r="B203"/>
      <c r="C203"/>
    </row>
    <row r="204" spans="1:3" x14ac:dyDescent="0.2">
      <c r="A204"/>
      <c r="B204"/>
      <c r="C204"/>
    </row>
    <row r="205" spans="1:3" x14ac:dyDescent="0.2">
      <c r="A205"/>
      <c r="B205"/>
      <c r="C205"/>
    </row>
    <row r="206" spans="1:3" x14ac:dyDescent="0.2">
      <c r="A206"/>
      <c r="B206"/>
      <c r="C206"/>
    </row>
    <row r="207" spans="1:3" x14ac:dyDescent="0.2">
      <c r="A207"/>
      <c r="B207"/>
      <c r="C207"/>
    </row>
    <row r="208" spans="1:3" x14ac:dyDescent="0.2">
      <c r="A208"/>
      <c r="B208"/>
      <c r="C208"/>
    </row>
    <row r="209" spans="1:3" x14ac:dyDescent="0.2">
      <c r="A209"/>
      <c r="B209"/>
      <c r="C209"/>
    </row>
    <row r="210" spans="1:3" x14ac:dyDescent="0.2">
      <c r="A210"/>
      <c r="B210"/>
      <c r="C210"/>
    </row>
    <row r="211" spans="1:3" x14ac:dyDescent="0.2">
      <c r="A211"/>
      <c r="B211"/>
      <c r="C211"/>
    </row>
    <row r="212" spans="1:3" x14ac:dyDescent="0.2">
      <c r="A212"/>
      <c r="B212"/>
      <c r="C212"/>
    </row>
    <row r="213" spans="1:3" x14ac:dyDescent="0.2">
      <c r="A213"/>
      <c r="B213"/>
      <c r="C213"/>
    </row>
    <row r="214" spans="1:3" x14ac:dyDescent="0.2">
      <c r="A214"/>
      <c r="B214"/>
      <c r="C214"/>
    </row>
    <row r="215" spans="1:3" x14ac:dyDescent="0.2">
      <c r="A215"/>
      <c r="B215"/>
      <c r="C215"/>
    </row>
    <row r="216" spans="1:3" x14ac:dyDescent="0.2">
      <c r="A216"/>
      <c r="B216"/>
      <c r="C216"/>
    </row>
    <row r="217" spans="1:3" x14ac:dyDescent="0.2">
      <c r="A217"/>
      <c r="B217"/>
      <c r="C217"/>
    </row>
    <row r="218" spans="1:3" x14ac:dyDescent="0.2">
      <c r="A218"/>
      <c r="B218"/>
      <c r="C218"/>
    </row>
    <row r="219" spans="1:3" x14ac:dyDescent="0.2">
      <c r="A219"/>
      <c r="B219"/>
      <c r="C219"/>
    </row>
    <row r="220" spans="1:3" x14ac:dyDescent="0.2">
      <c r="A220"/>
      <c r="B220"/>
      <c r="C220"/>
    </row>
    <row r="221" spans="1:3" x14ac:dyDescent="0.2">
      <c r="A221"/>
      <c r="B221"/>
      <c r="C221"/>
    </row>
    <row r="222" spans="1:3" x14ac:dyDescent="0.2">
      <c r="A222"/>
      <c r="B222"/>
      <c r="C222"/>
    </row>
    <row r="223" spans="1:3" x14ac:dyDescent="0.2">
      <c r="A223"/>
      <c r="B223"/>
      <c r="C223"/>
    </row>
    <row r="224" spans="1:3" x14ac:dyDescent="0.2">
      <c r="A224"/>
      <c r="B224"/>
      <c r="C224"/>
    </row>
    <row r="225" spans="1:3" x14ac:dyDescent="0.2">
      <c r="A225"/>
      <c r="B225"/>
      <c r="C225"/>
    </row>
    <row r="226" spans="1:3" x14ac:dyDescent="0.2">
      <c r="A226"/>
      <c r="B226"/>
      <c r="C226"/>
    </row>
    <row r="227" spans="1:3" x14ac:dyDescent="0.2">
      <c r="A227"/>
      <c r="B227"/>
      <c r="C227"/>
    </row>
    <row r="228" spans="1:3" x14ac:dyDescent="0.2">
      <c r="A228"/>
      <c r="B228"/>
      <c r="C228"/>
    </row>
    <row r="229" spans="1:3" x14ac:dyDescent="0.2">
      <c r="A229"/>
      <c r="B229"/>
      <c r="C229"/>
    </row>
    <row r="230" spans="1:3" x14ac:dyDescent="0.2">
      <c r="A230"/>
      <c r="B230"/>
      <c r="C230"/>
    </row>
    <row r="231" spans="1:3" x14ac:dyDescent="0.2">
      <c r="A231"/>
      <c r="B231"/>
      <c r="C231"/>
    </row>
    <row r="232" spans="1:3" x14ac:dyDescent="0.2">
      <c r="A232"/>
      <c r="B232"/>
      <c r="C232"/>
    </row>
    <row r="233" spans="1:3" x14ac:dyDescent="0.2">
      <c r="A233"/>
      <c r="B233"/>
      <c r="C233"/>
    </row>
    <row r="234" spans="1:3" x14ac:dyDescent="0.2">
      <c r="A234"/>
      <c r="B234"/>
      <c r="C234"/>
    </row>
    <row r="235" spans="1:3" x14ac:dyDescent="0.2">
      <c r="A235"/>
      <c r="B235"/>
      <c r="C235"/>
    </row>
    <row r="236" spans="1:3" x14ac:dyDescent="0.2">
      <c r="A236"/>
      <c r="B236"/>
      <c r="C236"/>
    </row>
    <row r="237" spans="1:3" x14ac:dyDescent="0.2">
      <c r="A237"/>
      <c r="B237"/>
      <c r="C237"/>
    </row>
    <row r="238" spans="1:3" x14ac:dyDescent="0.2">
      <c r="A238"/>
      <c r="B238"/>
      <c r="C238"/>
    </row>
    <row r="239" spans="1:3" x14ac:dyDescent="0.2">
      <c r="A239"/>
      <c r="B239"/>
      <c r="C239"/>
    </row>
    <row r="240" spans="1:3" x14ac:dyDescent="0.2">
      <c r="A240"/>
      <c r="B240"/>
      <c r="C240"/>
    </row>
    <row r="241" spans="1:3" x14ac:dyDescent="0.2">
      <c r="A241"/>
      <c r="B241"/>
      <c r="C241"/>
    </row>
    <row r="242" spans="1:3" x14ac:dyDescent="0.2">
      <c r="A242"/>
      <c r="B242"/>
      <c r="C242"/>
    </row>
    <row r="243" spans="1:3" x14ac:dyDescent="0.2">
      <c r="A243"/>
      <c r="B243"/>
      <c r="C243"/>
    </row>
    <row r="244" spans="1:3" x14ac:dyDescent="0.2">
      <c r="A244"/>
      <c r="B244"/>
      <c r="C244"/>
    </row>
    <row r="245" spans="1:3" x14ac:dyDescent="0.2">
      <c r="A245"/>
      <c r="B245"/>
      <c r="C245"/>
    </row>
    <row r="246" spans="1:3" x14ac:dyDescent="0.2">
      <c r="A246"/>
      <c r="B246"/>
      <c r="C246"/>
    </row>
    <row r="247" spans="1:3" x14ac:dyDescent="0.2">
      <c r="A247"/>
      <c r="B247"/>
      <c r="C247"/>
    </row>
    <row r="248" spans="1:3" x14ac:dyDescent="0.2">
      <c r="A248"/>
      <c r="B248"/>
      <c r="C248"/>
    </row>
    <row r="249" spans="1:3" x14ac:dyDescent="0.2">
      <c r="A249"/>
      <c r="B249"/>
      <c r="C249"/>
    </row>
    <row r="250" spans="1:3" x14ac:dyDescent="0.2">
      <c r="A250"/>
      <c r="B250"/>
      <c r="C250"/>
    </row>
    <row r="251" spans="1:3" x14ac:dyDescent="0.2">
      <c r="A251"/>
      <c r="B251"/>
      <c r="C251"/>
    </row>
    <row r="252" spans="1:3" x14ac:dyDescent="0.2">
      <c r="A252"/>
      <c r="B252"/>
      <c r="C252"/>
    </row>
    <row r="253" spans="1:3" x14ac:dyDescent="0.2">
      <c r="A253"/>
      <c r="B253"/>
      <c r="C253"/>
    </row>
    <row r="254" spans="1:3" x14ac:dyDescent="0.2">
      <c r="A254"/>
      <c r="B254"/>
      <c r="C254"/>
    </row>
    <row r="255" spans="1:3" x14ac:dyDescent="0.2">
      <c r="A255"/>
      <c r="B255"/>
      <c r="C255"/>
    </row>
    <row r="256" spans="1:3" x14ac:dyDescent="0.2">
      <c r="A256"/>
      <c r="B256"/>
      <c r="C256"/>
    </row>
    <row r="257" spans="1:3" x14ac:dyDescent="0.2">
      <c r="A257"/>
      <c r="B257"/>
      <c r="C257"/>
    </row>
    <row r="258" spans="1:3" x14ac:dyDescent="0.2">
      <c r="A258"/>
      <c r="B258"/>
      <c r="C258"/>
    </row>
    <row r="259" spans="1:3" x14ac:dyDescent="0.2">
      <c r="A259"/>
      <c r="B259"/>
      <c r="C259"/>
    </row>
    <row r="260" spans="1:3" x14ac:dyDescent="0.2">
      <c r="A260"/>
      <c r="B260"/>
      <c r="C260"/>
    </row>
    <row r="261" spans="1:3" x14ac:dyDescent="0.2">
      <c r="A261"/>
      <c r="B261"/>
      <c r="C261"/>
    </row>
    <row r="262" spans="1:3" x14ac:dyDescent="0.2">
      <c r="A262"/>
      <c r="B262"/>
      <c r="C262"/>
    </row>
    <row r="263" spans="1:3" x14ac:dyDescent="0.2">
      <c r="A263"/>
      <c r="B263"/>
      <c r="C263"/>
    </row>
    <row r="264" spans="1:3" x14ac:dyDescent="0.2">
      <c r="A264"/>
      <c r="B264"/>
      <c r="C264"/>
    </row>
    <row r="265" spans="1:3" x14ac:dyDescent="0.2">
      <c r="A265"/>
      <c r="B265"/>
      <c r="C265"/>
    </row>
    <row r="266" spans="1:3" x14ac:dyDescent="0.2">
      <c r="A266"/>
      <c r="B266"/>
      <c r="C266"/>
    </row>
    <row r="267" spans="1:3" x14ac:dyDescent="0.2">
      <c r="A267"/>
      <c r="B267"/>
      <c r="C267"/>
    </row>
    <row r="268" spans="1:3" x14ac:dyDescent="0.2">
      <c r="A268"/>
      <c r="B268"/>
      <c r="C268"/>
    </row>
    <row r="269" spans="1:3" x14ac:dyDescent="0.2">
      <c r="A269"/>
      <c r="B269"/>
      <c r="C269"/>
    </row>
    <row r="270" spans="1:3" x14ac:dyDescent="0.2">
      <c r="A270"/>
      <c r="B270"/>
      <c r="C270"/>
    </row>
    <row r="271" spans="1:3" x14ac:dyDescent="0.2">
      <c r="A271"/>
      <c r="B271"/>
      <c r="C271"/>
    </row>
    <row r="272" spans="1:3" x14ac:dyDescent="0.2">
      <c r="A272"/>
      <c r="B272"/>
      <c r="C272"/>
    </row>
    <row r="273" spans="1:3" x14ac:dyDescent="0.2">
      <c r="A273"/>
      <c r="B273"/>
      <c r="C273"/>
    </row>
    <row r="274" spans="1:3" x14ac:dyDescent="0.2">
      <c r="A274"/>
      <c r="B274"/>
      <c r="C274"/>
    </row>
    <row r="275" spans="1:3" x14ac:dyDescent="0.2">
      <c r="A275"/>
      <c r="B275"/>
      <c r="C275"/>
    </row>
    <row r="276" spans="1:3" x14ac:dyDescent="0.2">
      <c r="A276"/>
      <c r="B276"/>
      <c r="C276"/>
    </row>
    <row r="277" spans="1:3" x14ac:dyDescent="0.2">
      <c r="A277"/>
      <c r="B277"/>
      <c r="C277"/>
    </row>
    <row r="278" spans="1:3" x14ac:dyDescent="0.2">
      <c r="A278"/>
      <c r="B278"/>
      <c r="C278"/>
    </row>
    <row r="279" spans="1:3" x14ac:dyDescent="0.2">
      <c r="A279"/>
      <c r="B279"/>
      <c r="C279"/>
    </row>
    <row r="280" spans="1:3" x14ac:dyDescent="0.2">
      <c r="A280"/>
      <c r="B280"/>
      <c r="C280"/>
    </row>
    <row r="281" spans="1:3" x14ac:dyDescent="0.2">
      <c r="A281"/>
      <c r="B281"/>
      <c r="C281"/>
    </row>
    <row r="282" spans="1:3" x14ac:dyDescent="0.2">
      <c r="A282"/>
      <c r="B282"/>
      <c r="C282"/>
    </row>
    <row r="283" spans="1:3" x14ac:dyDescent="0.2">
      <c r="A283"/>
      <c r="B283"/>
      <c r="C283"/>
    </row>
    <row r="284" spans="1:3" x14ac:dyDescent="0.2">
      <c r="A284"/>
      <c r="B284"/>
      <c r="C284"/>
    </row>
    <row r="285" spans="1:3" x14ac:dyDescent="0.2">
      <c r="A285"/>
      <c r="B285"/>
      <c r="C285"/>
    </row>
    <row r="286" spans="1:3" x14ac:dyDescent="0.2">
      <c r="A286"/>
      <c r="B286"/>
      <c r="C286"/>
    </row>
    <row r="287" spans="1:3" x14ac:dyDescent="0.2">
      <c r="A287"/>
      <c r="B287"/>
      <c r="C287"/>
    </row>
    <row r="288" spans="1:3" x14ac:dyDescent="0.2">
      <c r="A288"/>
      <c r="B288"/>
      <c r="C288"/>
    </row>
    <row r="289" spans="1:3" x14ac:dyDescent="0.2">
      <c r="A289"/>
      <c r="B289"/>
      <c r="C289"/>
    </row>
    <row r="290" spans="1:3" x14ac:dyDescent="0.2">
      <c r="A290"/>
      <c r="B290"/>
      <c r="C290"/>
    </row>
    <row r="291" spans="1:3" x14ac:dyDescent="0.2">
      <c r="A291"/>
      <c r="B291"/>
      <c r="C291"/>
    </row>
    <row r="292" spans="1:3" x14ac:dyDescent="0.2">
      <c r="A292"/>
      <c r="B292"/>
      <c r="C292"/>
    </row>
    <row r="293" spans="1:3" x14ac:dyDescent="0.2">
      <c r="A293"/>
      <c r="B293"/>
      <c r="C293"/>
    </row>
    <row r="294" spans="1:3" x14ac:dyDescent="0.2">
      <c r="A294"/>
      <c r="B294"/>
      <c r="C294"/>
    </row>
    <row r="295" spans="1:3" x14ac:dyDescent="0.2">
      <c r="A295"/>
      <c r="B295"/>
      <c r="C295"/>
    </row>
    <row r="296" spans="1:3" x14ac:dyDescent="0.2">
      <c r="A296"/>
      <c r="B296"/>
      <c r="C296"/>
    </row>
    <row r="297" spans="1:3" x14ac:dyDescent="0.2">
      <c r="A297"/>
      <c r="B297"/>
      <c r="C297"/>
    </row>
    <row r="298" spans="1:3" x14ac:dyDescent="0.2">
      <c r="A298"/>
      <c r="B298"/>
      <c r="C298"/>
    </row>
    <row r="299" spans="1:3" x14ac:dyDescent="0.2">
      <c r="A299"/>
      <c r="B299"/>
      <c r="C299"/>
    </row>
    <row r="300" spans="1:3" x14ac:dyDescent="0.2">
      <c r="A300"/>
      <c r="B300"/>
      <c r="C300"/>
    </row>
    <row r="301" spans="1:3" x14ac:dyDescent="0.2">
      <c r="A301"/>
      <c r="B301"/>
      <c r="C301"/>
    </row>
    <row r="302" spans="1:3" x14ac:dyDescent="0.2">
      <c r="A302"/>
      <c r="B302"/>
      <c r="C302"/>
    </row>
    <row r="303" spans="1:3" x14ac:dyDescent="0.2">
      <c r="A303"/>
      <c r="B303"/>
      <c r="C303"/>
    </row>
    <row r="304" spans="1:3" x14ac:dyDescent="0.2">
      <c r="A304"/>
      <c r="B304"/>
      <c r="C304"/>
    </row>
    <row r="305" spans="1:3" x14ac:dyDescent="0.2">
      <c r="A305"/>
      <c r="B305"/>
      <c r="C305"/>
    </row>
    <row r="306" spans="1:3" x14ac:dyDescent="0.2">
      <c r="A306"/>
      <c r="B306"/>
      <c r="C306"/>
    </row>
    <row r="307" spans="1:3" x14ac:dyDescent="0.2">
      <c r="A307"/>
      <c r="B307"/>
      <c r="C307"/>
    </row>
    <row r="308" spans="1:3" x14ac:dyDescent="0.2">
      <c r="A308"/>
      <c r="B308"/>
      <c r="C308"/>
    </row>
    <row r="309" spans="1:3" x14ac:dyDescent="0.2">
      <c r="A309"/>
      <c r="B309"/>
      <c r="C309"/>
    </row>
    <row r="310" spans="1:3" x14ac:dyDescent="0.2">
      <c r="A310"/>
      <c r="B310"/>
      <c r="C310"/>
    </row>
    <row r="311" spans="1:3" x14ac:dyDescent="0.2">
      <c r="A311"/>
      <c r="B311"/>
      <c r="C311"/>
    </row>
    <row r="312" spans="1:3" x14ac:dyDescent="0.2">
      <c r="A312"/>
      <c r="B312"/>
      <c r="C312"/>
    </row>
    <row r="313" spans="1:3" x14ac:dyDescent="0.2">
      <c r="A313"/>
      <c r="B313"/>
      <c r="C313"/>
    </row>
    <row r="314" spans="1:3" x14ac:dyDescent="0.2">
      <c r="A314"/>
      <c r="B314"/>
      <c r="C314"/>
    </row>
    <row r="315" spans="1:3" x14ac:dyDescent="0.2">
      <c r="A315"/>
      <c r="B315"/>
      <c r="C315"/>
    </row>
    <row r="316" spans="1:3" x14ac:dyDescent="0.2">
      <c r="A316"/>
      <c r="B316"/>
      <c r="C316"/>
    </row>
    <row r="317" spans="1:3" x14ac:dyDescent="0.2">
      <c r="A317"/>
      <c r="B317"/>
      <c r="C317"/>
    </row>
    <row r="318" spans="1:3" x14ac:dyDescent="0.2">
      <c r="A318"/>
      <c r="B318"/>
      <c r="C318"/>
    </row>
    <row r="319" spans="1:3" x14ac:dyDescent="0.2">
      <c r="A319"/>
      <c r="B319"/>
      <c r="C319"/>
    </row>
    <row r="320" spans="1:3" x14ac:dyDescent="0.2">
      <c r="A320"/>
      <c r="B320"/>
      <c r="C320"/>
    </row>
    <row r="321" spans="1:3" x14ac:dyDescent="0.2">
      <c r="A321"/>
      <c r="B321"/>
      <c r="C321"/>
    </row>
    <row r="322" spans="1:3" x14ac:dyDescent="0.2">
      <c r="A322"/>
      <c r="B322"/>
      <c r="C322"/>
    </row>
    <row r="323" spans="1:3" x14ac:dyDescent="0.2">
      <c r="A323"/>
      <c r="B323"/>
      <c r="C323"/>
    </row>
    <row r="324" spans="1:3" x14ac:dyDescent="0.2">
      <c r="A324"/>
      <c r="B324"/>
      <c r="C324"/>
    </row>
    <row r="325" spans="1:3" x14ac:dyDescent="0.2">
      <c r="A325"/>
      <c r="B325"/>
      <c r="C325"/>
    </row>
    <row r="326" spans="1:3" x14ac:dyDescent="0.2">
      <c r="A326"/>
      <c r="B326"/>
      <c r="C326"/>
    </row>
    <row r="327" spans="1:3" x14ac:dyDescent="0.2">
      <c r="A327"/>
      <c r="B327"/>
      <c r="C327"/>
    </row>
    <row r="328" spans="1:3" x14ac:dyDescent="0.2">
      <c r="A328"/>
      <c r="B328"/>
      <c r="C328"/>
    </row>
    <row r="329" spans="1:3" x14ac:dyDescent="0.2">
      <c r="A329"/>
      <c r="B329"/>
      <c r="C329"/>
    </row>
    <row r="330" spans="1:3" x14ac:dyDescent="0.2">
      <c r="A330"/>
      <c r="B330"/>
      <c r="C330"/>
    </row>
    <row r="331" spans="1:3" x14ac:dyDescent="0.2">
      <c r="A331"/>
      <c r="B331"/>
      <c r="C331"/>
    </row>
    <row r="332" spans="1:3" x14ac:dyDescent="0.2">
      <c r="A332"/>
      <c r="B332"/>
      <c r="C332"/>
    </row>
    <row r="333" spans="1:3" x14ac:dyDescent="0.2">
      <c r="A333"/>
      <c r="B333"/>
      <c r="C333"/>
    </row>
    <row r="334" spans="1:3" x14ac:dyDescent="0.2">
      <c r="A334"/>
      <c r="B334"/>
      <c r="C334"/>
    </row>
    <row r="335" spans="1:3" x14ac:dyDescent="0.2">
      <c r="A335"/>
      <c r="B335"/>
      <c r="C335"/>
    </row>
    <row r="336" spans="1:3" x14ac:dyDescent="0.2">
      <c r="A336"/>
      <c r="B336"/>
      <c r="C336"/>
    </row>
    <row r="337" spans="1:3" x14ac:dyDescent="0.2">
      <c r="A337"/>
      <c r="B337"/>
      <c r="C337"/>
    </row>
    <row r="338" spans="1:3" x14ac:dyDescent="0.2">
      <c r="A338"/>
      <c r="B338"/>
      <c r="C338"/>
    </row>
    <row r="339" spans="1:3" x14ac:dyDescent="0.2">
      <c r="A339"/>
      <c r="B339"/>
      <c r="C339"/>
    </row>
    <row r="340" spans="1:3" x14ac:dyDescent="0.2">
      <c r="A340"/>
      <c r="B340"/>
      <c r="C340"/>
    </row>
    <row r="341" spans="1:3" x14ac:dyDescent="0.2">
      <c r="A341"/>
      <c r="B341"/>
      <c r="C341"/>
    </row>
    <row r="342" spans="1:3" x14ac:dyDescent="0.2">
      <c r="A342"/>
      <c r="B342"/>
      <c r="C342"/>
    </row>
    <row r="343" spans="1:3" x14ac:dyDescent="0.2">
      <c r="A343"/>
      <c r="B343"/>
      <c r="C343"/>
    </row>
    <row r="344" spans="1:3" x14ac:dyDescent="0.2">
      <c r="A344"/>
      <c r="B344"/>
      <c r="C344"/>
    </row>
    <row r="345" spans="1:3" x14ac:dyDescent="0.2">
      <c r="A345"/>
      <c r="B345"/>
      <c r="C345"/>
    </row>
    <row r="346" spans="1:3" x14ac:dyDescent="0.2">
      <c r="A346"/>
      <c r="B346"/>
      <c r="C346"/>
    </row>
    <row r="347" spans="1:3" x14ac:dyDescent="0.2">
      <c r="A347"/>
      <c r="B347"/>
      <c r="C347"/>
    </row>
    <row r="348" spans="1:3" x14ac:dyDescent="0.2">
      <c r="A348"/>
      <c r="B348"/>
      <c r="C348"/>
    </row>
    <row r="349" spans="1:3" x14ac:dyDescent="0.2">
      <c r="A349"/>
      <c r="B349"/>
      <c r="C349"/>
    </row>
    <row r="350" spans="1:3" x14ac:dyDescent="0.2">
      <c r="A350"/>
      <c r="B350"/>
      <c r="C350"/>
    </row>
    <row r="351" spans="1:3" x14ac:dyDescent="0.2">
      <c r="A351"/>
      <c r="B351"/>
      <c r="C351"/>
    </row>
    <row r="352" spans="1:3" x14ac:dyDescent="0.2">
      <c r="A352"/>
      <c r="B352"/>
      <c r="C352"/>
    </row>
    <row r="353" spans="1:3" x14ac:dyDescent="0.2">
      <c r="A353"/>
      <c r="B353"/>
      <c r="C353"/>
    </row>
    <row r="354" spans="1:3" x14ac:dyDescent="0.2">
      <c r="A354"/>
      <c r="B354"/>
      <c r="C354"/>
    </row>
    <row r="355" spans="1:3" x14ac:dyDescent="0.2">
      <c r="A355"/>
      <c r="B355"/>
      <c r="C355"/>
    </row>
    <row r="356" spans="1:3" x14ac:dyDescent="0.2">
      <c r="A356"/>
      <c r="B356"/>
      <c r="C356"/>
    </row>
    <row r="357" spans="1:3" x14ac:dyDescent="0.2">
      <c r="A357"/>
      <c r="B357"/>
      <c r="C357"/>
    </row>
    <row r="358" spans="1:3" x14ac:dyDescent="0.2">
      <c r="A358"/>
      <c r="B358"/>
      <c r="C358"/>
    </row>
    <row r="359" spans="1:3" x14ac:dyDescent="0.2">
      <c r="A359"/>
      <c r="B359"/>
      <c r="C359"/>
    </row>
    <row r="360" spans="1:3" x14ac:dyDescent="0.2">
      <c r="A360"/>
      <c r="B360"/>
      <c r="C360"/>
    </row>
    <row r="361" spans="1:3" x14ac:dyDescent="0.2">
      <c r="A361"/>
      <c r="B361"/>
      <c r="C361"/>
    </row>
    <row r="362" spans="1:3" x14ac:dyDescent="0.2">
      <c r="A362"/>
      <c r="B362"/>
      <c r="C362"/>
    </row>
    <row r="363" spans="1:3" x14ac:dyDescent="0.2">
      <c r="A363"/>
      <c r="B363"/>
      <c r="C363"/>
    </row>
    <row r="364" spans="1:3" x14ac:dyDescent="0.2">
      <c r="A364"/>
      <c r="B364"/>
      <c r="C364"/>
    </row>
    <row r="365" spans="1:3" x14ac:dyDescent="0.2">
      <c r="A365"/>
      <c r="B365"/>
      <c r="C365"/>
    </row>
    <row r="366" spans="1:3" x14ac:dyDescent="0.2">
      <c r="A366"/>
      <c r="B366"/>
      <c r="C366"/>
    </row>
    <row r="367" spans="1:3" x14ac:dyDescent="0.2">
      <c r="A367"/>
      <c r="B367"/>
      <c r="C367"/>
    </row>
    <row r="368" spans="1:3" x14ac:dyDescent="0.2">
      <c r="A368"/>
      <c r="B368"/>
      <c r="C368"/>
    </row>
    <row r="369" spans="1:3" x14ac:dyDescent="0.2">
      <c r="A369"/>
      <c r="B369"/>
      <c r="C369"/>
    </row>
    <row r="370" spans="1:3" x14ac:dyDescent="0.2">
      <c r="A370"/>
      <c r="B370"/>
      <c r="C370"/>
    </row>
    <row r="371" spans="1:3" x14ac:dyDescent="0.2">
      <c r="A371"/>
      <c r="B371"/>
      <c r="C371"/>
    </row>
    <row r="372" spans="1:3" x14ac:dyDescent="0.2">
      <c r="A372"/>
      <c r="B372"/>
      <c r="C372"/>
    </row>
    <row r="373" spans="1:3" x14ac:dyDescent="0.2">
      <c r="A373"/>
      <c r="B373"/>
      <c r="C373"/>
    </row>
    <row r="374" spans="1:3" x14ac:dyDescent="0.2">
      <c r="A374"/>
      <c r="B374"/>
      <c r="C374"/>
    </row>
    <row r="375" spans="1:3" x14ac:dyDescent="0.2">
      <c r="A375"/>
      <c r="B375"/>
      <c r="C375"/>
    </row>
    <row r="376" spans="1:3" x14ac:dyDescent="0.2">
      <c r="A376"/>
      <c r="B376"/>
      <c r="C376"/>
    </row>
    <row r="377" spans="1:3" x14ac:dyDescent="0.2">
      <c r="A377"/>
      <c r="B377"/>
      <c r="C377"/>
    </row>
    <row r="378" spans="1:3" x14ac:dyDescent="0.2">
      <c r="A378"/>
      <c r="B378"/>
      <c r="C378"/>
    </row>
    <row r="379" spans="1:3" x14ac:dyDescent="0.2">
      <c r="A379"/>
      <c r="B379"/>
      <c r="C379"/>
    </row>
    <row r="380" spans="1:3" x14ac:dyDescent="0.2">
      <c r="A380"/>
      <c r="B380"/>
      <c r="C380"/>
    </row>
    <row r="381" spans="1:3" x14ac:dyDescent="0.2">
      <c r="A381"/>
      <c r="B381"/>
      <c r="C381"/>
    </row>
    <row r="382" spans="1:3" x14ac:dyDescent="0.2">
      <c r="A382"/>
      <c r="B382"/>
      <c r="C382"/>
    </row>
    <row r="383" spans="1:3" x14ac:dyDescent="0.2">
      <c r="A383"/>
      <c r="B383"/>
      <c r="C383"/>
    </row>
    <row r="384" spans="1:3" x14ac:dyDescent="0.2">
      <c r="A384"/>
      <c r="B384"/>
      <c r="C384"/>
    </row>
    <row r="385" spans="1:3" x14ac:dyDescent="0.2">
      <c r="A385"/>
      <c r="B385"/>
      <c r="C385"/>
    </row>
    <row r="386" spans="1:3" x14ac:dyDescent="0.2">
      <c r="A386"/>
      <c r="B386"/>
      <c r="C386"/>
    </row>
    <row r="387" spans="1:3" x14ac:dyDescent="0.2">
      <c r="A387"/>
      <c r="B387"/>
      <c r="C387"/>
    </row>
    <row r="388" spans="1:3" x14ac:dyDescent="0.2">
      <c r="A388"/>
      <c r="B388"/>
      <c r="C388"/>
    </row>
    <row r="389" spans="1:3" x14ac:dyDescent="0.2">
      <c r="A389"/>
      <c r="B389"/>
      <c r="C389"/>
    </row>
    <row r="390" spans="1:3" x14ac:dyDescent="0.2">
      <c r="A390"/>
      <c r="B390"/>
      <c r="C390"/>
    </row>
    <row r="391" spans="1:3" x14ac:dyDescent="0.2">
      <c r="A391"/>
      <c r="B391"/>
      <c r="C391"/>
    </row>
    <row r="392" spans="1:3" x14ac:dyDescent="0.2">
      <c r="A392"/>
      <c r="B392"/>
      <c r="C392"/>
    </row>
    <row r="393" spans="1:3" x14ac:dyDescent="0.2">
      <c r="A393"/>
      <c r="B393"/>
      <c r="C393"/>
    </row>
    <row r="394" spans="1:3" x14ac:dyDescent="0.2">
      <c r="A394"/>
      <c r="B394"/>
      <c r="C394"/>
    </row>
    <row r="395" spans="1:3" x14ac:dyDescent="0.2">
      <c r="A395"/>
      <c r="B395"/>
      <c r="C395"/>
    </row>
    <row r="396" spans="1:3" x14ac:dyDescent="0.2">
      <c r="A396"/>
      <c r="B396"/>
      <c r="C396"/>
    </row>
    <row r="397" spans="1:3" x14ac:dyDescent="0.2">
      <c r="A397"/>
      <c r="B397"/>
      <c r="C397"/>
    </row>
    <row r="398" spans="1:3" x14ac:dyDescent="0.2">
      <c r="A398"/>
      <c r="B398"/>
      <c r="C398"/>
    </row>
    <row r="399" spans="1:3" x14ac:dyDescent="0.2">
      <c r="A399"/>
      <c r="B399"/>
      <c r="C399"/>
    </row>
    <row r="400" spans="1:3" x14ac:dyDescent="0.2">
      <c r="A400"/>
      <c r="B400"/>
      <c r="C400"/>
    </row>
    <row r="401" spans="1:3" x14ac:dyDescent="0.2">
      <c r="A401"/>
      <c r="B401"/>
      <c r="C401"/>
    </row>
    <row r="402" spans="1:3" x14ac:dyDescent="0.2">
      <c r="A402"/>
      <c r="B402"/>
      <c r="C402"/>
    </row>
    <row r="403" spans="1:3" x14ac:dyDescent="0.2">
      <c r="A403"/>
      <c r="B403"/>
      <c r="C403"/>
    </row>
    <row r="404" spans="1:3" x14ac:dyDescent="0.2">
      <c r="A404"/>
      <c r="B404"/>
      <c r="C404"/>
    </row>
    <row r="405" spans="1:3" x14ac:dyDescent="0.2">
      <c r="A405"/>
      <c r="B405"/>
      <c r="C405"/>
    </row>
    <row r="406" spans="1:3" x14ac:dyDescent="0.2">
      <c r="A406"/>
      <c r="B406"/>
      <c r="C406"/>
    </row>
    <row r="407" spans="1:3" x14ac:dyDescent="0.2">
      <c r="A407"/>
      <c r="B407"/>
      <c r="C407"/>
    </row>
    <row r="408" spans="1:3" x14ac:dyDescent="0.2">
      <c r="A408"/>
      <c r="B408"/>
      <c r="C408"/>
    </row>
    <row r="409" spans="1:3" x14ac:dyDescent="0.2">
      <c r="A409"/>
      <c r="B409"/>
      <c r="C409"/>
    </row>
    <row r="410" spans="1:3" x14ac:dyDescent="0.2">
      <c r="A410"/>
      <c r="B410"/>
      <c r="C410"/>
    </row>
    <row r="411" spans="1:3" x14ac:dyDescent="0.2">
      <c r="A411"/>
      <c r="B411"/>
      <c r="C411"/>
    </row>
    <row r="412" spans="1:3" x14ac:dyDescent="0.2">
      <c r="A412"/>
      <c r="B412"/>
      <c r="C412"/>
    </row>
    <row r="413" spans="1:3" x14ac:dyDescent="0.2">
      <c r="A413"/>
      <c r="B413"/>
      <c r="C413"/>
    </row>
    <row r="414" spans="1:3" x14ac:dyDescent="0.2">
      <c r="A414"/>
      <c r="B414"/>
      <c r="C414"/>
    </row>
    <row r="415" spans="1:3" x14ac:dyDescent="0.2">
      <c r="A415"/>
      <c r="B415"/>
      <c r="C415"/>
    </row>
    <row r="416" spans="1:3" x14ac:dyDescent="0.2">
      <c r="A416"/>
      <c r="B416"/>
      <c r="C416"/>
    </row>
    <row r="417" spans="1:3" x14ac:dyDescent="0.2">
      <c r="A417"/>
      <c r="B417"/>
      <c r="C417"/>
    </row>
    <row r="418" spans="1:3" x14ac:dyDescent="0.2">
      <c r="A418"/>
      <c r="B418"/>
      <c r="C418"/>
    </row>
    <row r="419" spans="1:3" x14ac:dyDescent="0.2">
      <c r="A419"/>
      <c r="B419"/>
      <c r="C419"/>
    </row>
    <row r="420" spans="1:3" x14ac:dyDescent="0.2">
      <c r="A420"/>
      <c r="B420"/>
      <c r="C420"/>
    </row>
    <row r="421" spans="1:3" x14ac:dyDescent="0.2">
      <c r="A421"/>
      <c r="B421"/>
      <c r="C421"/>
    </row>
    <row r="422" spans="1:3" x14ac:dyDescent="0.2">
      <c r="A422"/>
      <c r="B422"/>
      <c r="C422"/>
    </row>
    <row r="423" spans="1:3" x14ac:dyDescent="0.2">
      <c r="A423"/>
      <c r="B423"/>
      <c r="C423"/>
    </row>
    <row r="424" spans="1:3" x14ac:dyDescent="0.2">
      <c r="A424"/>
      <c r="B424"/>
      <c r="C424"/>
    </row>
    <row r="425" spans="1:3" x14ac:dyDescent="0.2">
      <c r="A425"/>
      <c r="B425"/>
      <c r="C425"/>
    </row>
    <row r="426" spans="1:3" x14ac:dyDescent="0.2">
      <c r="A426"/>
      <c r="B426"/>
      <c r="C426"/>
    </row>
    <row r="427" spans="1:3" x14ac:dyDescent="0.2">
      <c r="A427"/>
      <c r="B427"/>
      <c r="C427"/>
    </row>
    <row r="428" spans="1:3" x14ac:dyDescent="0.2">
      <c r="A428"/>
      <c r="B428"/>
      <c r="C428"/>
    </row>
    <row r="429" spans="1:3" x14ac:dyDescent="0.2">
      <c r="A429"/>
      <c r="B429"/>
      <c r="C429"/>
    </row>
    <row r="430" spans="1:3" x14ac:dyDescent="0.2">
      <c r="A430"/>
      <c r="B430"/>
      <c r="C430"/>
    </row>
    <row r="431" spans="1:3" x14ac:dyDescent="0.2">
      <c r="A431"/>
      <c r="B431"/>
      <c r="C431"/>
    </row>
    <row r="432" spans="1:3" x14ac:dyDescent="0.2">
      <c r="A432"/>
      <c r="B432"/>
      <c r="C432"/>
    </row>
    <row r="433" spans="1:3" x14ac:dyDescent="0.2">
      <c r="A433"/>
      <c r="B433"/>
      <c r="C433"/>
    </row>
    <row r="434" spans="1:3" x14ac:dyDescent="0.2">
      <c r="A434"/>
      <c r="B434"/>
      <c r="C434"/>
    </row>
  </sheetData>
  <sheetProtection password="C4B9" sheet="1" objects="1" scenarios="1"/>
  <sortState ref="A2:C434">
    <sortCondition descending="1" ref="C2:C434"/>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91"/>
  <sheetViews>
    <sheetView workbookViewId="0">
      <selection activeCell="J15" sqref="J15"/>
    </sheetView>
  </sheetViews>
  <sheetFormatPr defaultRowHeight="15" customHeight="1" x14ac:dyDescent="0.2"/>
  <cols>
    <col min="1" max="1" width="24.5" bestFit="1" customWidth="1"/>
    <col min="2" max="2" width="4.6640625" bestFit="1" customWidth="1"/>
    <col min="3" max="3" width="5.83203125" bestFit="1" customWidth="1"/>
    <col min="4" max="4" width="10.1640625" bestFit="1" customWidth="1"/>
  </cols>
  <sheetData>
    <row r="1" spans="1:4" ht="21" customHeight="1" thickBot="1" x14ac:dyDescent="0.25">
      <c r="A1" s="1122"/>
      <c r="B1" s="1123" t="s">
        <v>2177</v>
      </c>
      <c r="C1" s="1123" t="s">
        <v>1645</v>
      </c>
      <c r="D1" s="1124" t="s">
        <v>1690</v>
      </c>
    </row>
    <row r="2" spans="1:4" ht="15" customHeight="1" thickBot="1" x14ac:dyDescent="0.25">
      <c r="A2" s="1125" t="s">
        <v>2178</v>
      </c>
      <c r="B2" s="1126"/>
      <c r="C2" s="1127"/>
      <c r="D2" s="1128"/>
    </row>
    <row r="3" spans="1:4" ht="15" customHeight="1" x14ac:dyDescent="0.2">
      <c r="A3" s="1129" t="s">
        <v>2179</v>
      </c>
      <c r="B3" s="1130"/>
      <c r="C3" s="1130" t="s">
        <v>1646</v>
      </c>
      <c r="D3" s="1131"/>
    </row>
    <row r="4" spans="1:4" ht="15" customHeight="1" x14ac:dyDescent="0.2">
      <c r="A4" s="1132" t="s">
        <v>2180</v>
      </c>
      <c r="B4" s="1130"/>
      <c r="C4" s="1130" t="s">
        <v>1646</v>
      </c>
      <c r="D4" s="1131"/>
    </row>
    <row r="5" spans="1:4" ht="15" customHeight="1" x14ac:dyDescent="0.2">
      <c r="A5" s="1132" t="s">
        <v>2181</v>
      </c>
      <c r="B5" s="1130"/>
      <c r="C5" s="1130" t="s">
        <v>1646</v>
      </c>
      <c r="D5" s="1131"/>
    </row>
    <row r="6" spans="1:4" ht="15" customHeight="1" x14ac:dyDescent="0.2">
      <c r="A6" s="1132" t="s">
        <v>2182</v>
      </c>
      <c r="B6" s="1130"/>
      <c r="C6" s="1130" t="s">
        <v>1646</v>
      </c>
      <c r="D6" s="1131"/>
    </row>
    <row r="7" spans="1:4" ht="15" customHeight="1" x14ac:dyDescent="0.2">
      <c r="A7" s="1132" t="s">
        <v>2183</v>
      </c>
      <c r="B7" s="1130"/>
      <c r="C7" s="1130" t="s">
        <v>1646</v>
      </c>
      <c r="D7" s="1131"/>
    </row>
    <row r="8" spans="1:4" ht="15" customHeight="1" x14ac:dyDescent="0.2">
      <c r="A8" s="1132" t="s">
        <v>2184</v>
      </c>
      <c r="B8" s="1130"/>
      <c r="C8" s="1130" t="s">
        <v>1646</v>
      </c>
      <c r="D8" s="1131"/>
    </row>
    <row r="9" spans="1:4" ht="15" customHeight="1" x14ac:dyDescent="0.2">
      <c r="A9" s="1132" t="s">
        <v>2185</v>
      </c>
      <c r="B9" s="1130"/>
      <c r="C9" s="1130" t="s">
        <v>1646</v>
      </c>
      <c r="D9" s="1131"/>
    </row>
    <row r="10" spans="1:4" ht="15" customHeight="1" x14ac:dyDescent="0.2">
      <c r="A10" s="1132" t="s">
        <v>2186</v>
      </c>
      <c r="B10" s="1130"/>
      <c r="C10" s="1130" t="s">
        <v>1646</v>
      </c>
      <c r="D10" s="1131"/>
    </row>
    <row r="11" spans="1:4" ht="15" customHeight="1" x14ac:dyDescent="0.2">
      <c r="A11" s="1132" t="s">
        <v>2187</v>
      </c>
      <c r="B11" s="1130"/>
      <c r="C11" s="1130" t="s">
        <v>1646</v>
      </c>
      <c r="D11" s="1131"/>
    </row>
    <row r="12" spans="1:4" ht="15" customHeight="1" x14ac:dyDescent="0.2">
      <c r="A12" s="1132" t="s">
        <v>2188</v>
      </c>
      <c r="B12" s="1130"/>
      <c r="C12" s="1130" t="s">
        <v>1646</v>
      </c>
      <c r="D12" s="1131"/>
    </row>
    <row r="13" spans="1:4" ht="15" customHeight="1" x14ac:dyDescent="0.2">
      <c r="A13" s="1132" t="s">
        <v>2189</v>
      </c>
      <c r="B13" s="1130"/>
      <c r="C13" s="1130" t="s">
        <v>1646</v>
      </c>
      <c r="D13" s="1131"/>
    </row>
    <row r="14" spans="1:4" ht="15" customHeight="1" thickBot="1" x14ac:dyDescent="0.25">
      <c r="A14" s="1133" t="s">
        <v>2190</v>
      </c>
      <c r="B14" s="1130"/>
      <c r="C14" s="1130" t="s">
        <v>1646</v>
      </c>
      <c r="D14" s="1131"/>
    </row>
    <row r="15" spans="1:4" ht="15" customHeight="1" thickBot="1" x14ac:dyDescent="0.25">
      <c r="A15" s="1134" t="s">
        <v>2191</v>
      </c>
      <c r="B15" s="1126"/>
      <c r="C15" s="1127"/>
      <c r="D15" s="1128"/>
    </row>
    <row r="16" spans="1:4" ht="15" customHeight="1" x14ac:dyDescent="0.2">
      <c r="A16" s="1129" t="s">
        <v>2192</v>
      </c>
      <c r="B16" s="1130"/>
      <c r="C16" s="1130" t="s">
        <v>1646</v>
      </c>
      <c r="D16" s="1131"/>
    </row>
    <row r="17" spans="1:4" ht="15" customHeight="1" x14ac:dyDescent="0.2">
      <c r="A17" s="1132" t="s">
        <v>2193</v>
      </c>
      <c r="B17" s="1130"/>
      <c r="C17" s="1130" t="s">
        <v>1646</v>
      </c>
      <c r="D17" s="1131" t="s">
        <v>1646</v>
      </c>
    </row>
    <row r="18" spans="1:4" ht="15" customHeight="1" x14ac:dyDescent="0.2">
      <c r="A18" s="1132" t="s">
        <v>2194</v>
      </c>
      <c r="B18" s="1130"/>
      <c r="C18" s="1130" t="s">
        <v>1646</v>
      </c>
      <c r="D18" s="1131"/>
    </row>
    <row r="19" spans="1:4" ht="15" customHeight="1" thickBot="1" x14ac:dyDescent="0.25">
      <c r="A19" s="1133" t="s">
        <v>2195</v>
      </c>
      <c r="B19" s="1130"/>
      <c r="C19" s="1130" t="s">
        <v>1646</v>
      </c>
      <c r="D19" s="1131"/>
    </row>
    <row r="20" spans="1:4" ht="15" customHeight="1" thickBot="1" x14ac:dyDescent="0.25">
      <c r="A20" s="1134" t="s">
        <v>2196</v>
      </c>
      <c r="B20" s="1126"/>
      <c r="C20" s="1127"/>
      <c r="D20" s="1128"/>
    </row>
    <row r="21" spans="1:4" ht="15" customHeight="1" x14ac:dyDescent="0.2">
      <c r="A21" s="1129" t="s">
        <v>2197</v>
      </c>
      <c r="B21" s="1130"/>
      <c r="C21" s="1130" t="s">
        <v>1646</v>
      </c>
      <c r="D21" s="1131" t="s">
        <v>1646</v>
      </c>
    </row>
    <row r="22" spans="1:4" ht="15" customHeight="1" x14ac:dyDescent="0.2">
      <c r="A22" s="1132" t="s">
        <v>2198</v>
      </c>
      <c r="B22" s="1130"/>
      <c r="C22" s="1130" t="s">
        <v>1646</v>
      </c>
      <c r="D22" s="1131" t="s">
        <v>1646</v>
      </c>
    </row>
    <row r="23" spans="1:4" ht="15" customHeight="1" x14ac:dyDescent="0.2">
      <c r="A23" s="1132" t="s">
        <v>2199</v>
      </c>
      <c r="B23" s="1130"/>
      <c r="C23" s="1130" t="s">
        <v>1646</v>
      </c>
      <c r="D23" s="1131" t="s">
        <v>1646</v>
      </c>
    </row>
    <row r="24" spans="1:4" ht="15" customHeight="1" x14ac:dyDescent="0.2">
      <c r="A24" s="1132" t="s">
        <v>2200</v>
      </c>
      <c r="B24" s="1130"/>
      <c r="C24" s="1130" t="s">
        <v>1646</v>
      </c>
      <c r="D24" s="1131" t="s">
        <v>1646</v>
      </c>
    </row>
    <row r="25" spans="1:4" ht="15" customHeight="1" x14ac:dyDescent="0.2">
      <c r="A25" s="1132" t="s">
        <v>2201</v>
      </c>
      <c r="B25" s="1130"/>
      <c r="C25" s="1130" t="s">
        <v>1646</v>
      </c>
      <c r="D25" s="1131" t="s">
        <v>1646</v>
      </c>
    </row>
    <row r="26" spans="1:4" ht="15" customHeight="1" x14ac:dyDescent="0.2">
      <c r="A26" s="1132" t="s">
        <v>2202</v>
      </c>
      <c r="B26" s="1130"/>
      <c r="C26" s="1130" t="s">
        <v>1646</v>
      </c>
      <c r="D26" s="1131"/>
    </row>
    <row r="27" spans="1:4" ht="15" customHeight="1" x14ac:dyDescent="0.2">
      <c r="A27" s="1132" t="s">
        <v>2203</v>
      </c>
      <c r="B27" s="1130"/>
      <c r="C27" s="1130" t="s">
        <v>1646</v>
      </c>
      <c r="D27" s="1131"/>
    </row>
    <row r="28" spans="1:4" ht="15" customHeight="1" x14ac:dyDescent="0.2">
      <c r="A28" s="1132" t="s">
        <v>2204</v>
      </c>
      <c r="B28" s="1130"/>
      <c r="C28" s="1130" t="s">
        <v>1646</v>
      </c>
      <c r="D28" s="1131"/>
    </row>
    <row r="29" spans="1:4" ht="15" customHeight="1" x14ac:dyDescent="0.2">
      <c r="A29" s="1132" t="s">
        <v>2205</v>
      </c>
      <c r="B29" s="1130"/>
      <c r="C29" s="1130"/>
      <c r="D29" s="1131" t="s">
        <v>1646</v>
      </c>
    </row>
    <row r="30" spans="1:4" ht="15" customHeight="1" x14ac:dyDescent="0.2">
      <c r="A30" s="1132" t="s">
        <v>2206</v>
      </c>
      <c r="B30" s="1130"/>
      <c r="C30" s="1130" t="s">
        <v>1646</v>
      </c>
      <c r="D30" s="1131" t="s">
        <v>1646</v>
      </c>
    </row>
    <row r="31" spans="1:4" ht="15" customHeight="1" thickBot="1" x14ac:dyDescent="0.25">
      <c r="A31" s="1133" t="s">
        <v>2207</v>
      </c>
      <c r="B31" s="1130"/>
      <c r="C31" s="1130" t="s">
        <v>1646</v>
      </c>
      <c r="D31" s="1131" t="s">
        <v>1646</v>
      </c>
    </row>
    <row r="32" spans="1:4" ht="15" customHeight="1" x14ac:dyDescent="0.2">
      <c r="A32" s="1135" t="s">
        <v>1636</v>
      </c>
      <c r="B32" s="1126"/>
      <c r="C32" s="1127"/>
      <c r="D32" s="1128"/>
    </row>
    <row r="33" spans="1:4" ht="15" customHeight="1" x14ac:dyDescent="0.2">
      <c r="A33" s="1136" t="s">
        <v>1638</v>
      </c>
      <c r="B33" s="1130" t="s">
        <v>1646</v>
      </c>
      <c r="C33" s="1130" t="s">
        <v>1646</v>
      </c>
      <c r="D33" s="1131"/>
    </row>
    <row r="34" spans="1:4" ht="15" customHeight="1" x14ac:dyDescent="0.2">
      <c r="A34" s="1136" t="s">
        <v>1639</v>
      </c>
      <c r="B34" s="1130" t="s">
        <v>1646</v>
      </c>
      <c r="C34" s="1130"/>
      <c r="D34" s="1131"/>
    </row>
    <row r="35" spans="1:4" ht="15" customHeight="1" x14ac:dyDescent="0.2">
      <c r="A35" s="1136" t="s">
        <v>1640</v>
      </c>
      <c r="B35" s="1130" t="s">
        <v>1646</v>
      </c>
      <c r="C35" s="1130"/>
      <c r="D35" s="1131"/>
    </row>
    <row r="36" spans="1:4" ht="15" customHeight="1" x14ac:dyDescent="0.2">
      <c r="A36" s="1136" t="s">
        <v>1641</v>
      </c>
      <c r="B36" s="1130" t="s">
        <v>1646</v>
      </c>
      <c r="C36" s="1130"/>
      <c r="D36" s="1131"/>
    </row>
    <row r="37" spans="1:4" ht="15" customHeight="1" x14ac:dyDescent="0.2">
      <c r="A37" s="1136" t="s">
        <v>1642</v>
      </c>
      <c r="B37" s="1130" t="s">
        <v>1646</v>
      </c>
      <c r="C37" s="1130"/>
      <c r="D37" s="1131"/>
    </row>
    <row r="38" spans="1:4" ht="15" customHeight="1" x14ac:dyDescent="0.2">
      <c r="A38" s="1136" t="s">
        <v>2208</v>
      </c>
      <c r="B38" s="1130" t="s">
        <v>1646</v>
      </c>
      <c r="C38" s="1130" t="s">
        <v>1646</v>
      </c>
      <c r="D38" s="1131"/>
    </row>
    <row r="39" spans="1:4" ht="15" customHeight="1" x14ac:dyDescent="0.2">
      <c r="A39" s="1136" t="s">
        <v>2209</v>
      </c>
      <c r="B39" s="1130" t="s">
        <v>1646</v>
      </c>
      <c r="C39" s="1130" t="s">
        <v>1646</v>
      </c>
      <c r="D39" s="1131"/>
    </row>
    <row r="40" spans="1:4" ht="15" customHeight="1" x14ac:dyDescent="0.2">
      <c r="A40" s="1136" t="s">
        <v>1647</v>
      </c>
      <c r="B40" s="1130" t="s">
        <v>1646</v>
      </c>
      <c r="C40" s="1130"/>
      <c r="D40" s="1131"/>
    </row>
    <row r="41" spans="1:4" ht="15" customHeight="1" x14ac:dyDescent="0.2">
      <c r="A41" s="1136" t="s">
        <v>2210</v>
      </c>
      <c r="B41" s="1130" t="s">
        <v>1646</v>
      </c>
      <c r="C41" s="1130" t="s">
        <v>1646</v>
      </c>
      <c r="D41" s="1131"/>
    </row>
    <row r="42" spans="1:4" ht="15" customHeight="1" x14ac:dyDescent="0.2">
      <c r="A42" s="1136" t="s">
        <v>2211</v>
      </c>
      <c r="B42" s="1130" t="s">
        <v>1646</v>
      </c>
      <c r="C42" s="1130" t="s">
        <v>1646</v>
      </c>
      <c r="D42" s="1131"/>
    </row>
    <row r="43" spans="1:4" ht="15" customHeight="1" x14ac:dyDescent="0.2">
      <c r="A43" s="1137" t="s">
        <v>1683</v>
      </c>
      <c r="B43" s="1130" t="s">
        <v>1646</v>
      </c>
      <c r="C43" s="1130" t="s">
        <v>1646</v>
      </c>
      <c r="D43" s="1131"/>
    </row>
    <row r="44" spans="1:4" ht="15" customHeight="1" x14ac:dyDescent="0.2">
      <c r="A44" s="1136" t="s">
        <v>1643</v>
      </c>
      <c r="B44" s="1130" t="s">
        <v>1646</v>
      </c>
      <c r="C44" s="1130"/>
      <c r="D44" s="1131"/>
    </row>
    <row r="45" spans="1:4" ht="15" customHeight="1" x14ac:dyDescent="0.2">
      <c r="A45" s="1136" t="s">
        <v>1644</v>
      </c>
      <c r="B45" s="1130" t="s">
        <v>1646</v>
      </c>
      <c r="C45" s="1130"/>
      <c r="D45" s="1131" t="s">
        <v>1646</v>
      </c>
    </row>
    <row r="46" spans="1:4" ht="15" customHeight="1" x14ac:dyDescent="0.2">
      <c r="A46" s="1137" t="s">
        <v>1681</v>
      </c>
      <c r="B46" s="1130" t="s">
        <v>1646</v>
      </c>
      <c r="C46" s="1130" t="s">
        <v>1646</v>
      </c>
      <c r="D46" s="1131"/>
    </row>
    <row r="47" spans="1:4" ht="15" customHeight="1" x14ac:dyDescent="0.2">
      <c r="A47" s="1136" t="s">
        <v>1648</v>
      </c>
      <c r="B47" s="1130" t="s">
        <v>1646</v>
      </c>
      <c r="C47" s="1130"/>
      <c r="D47" s="1131"/>
    </row>
    <row r="48" spans="1:4" ht="15" customHeight="1" x14ac:dyDescent="0.2">
      <c r="A48" s="1136" t="s">
        <v>1649</v>
      </c>
      <c r="B48" s="1130" t="s">
        <v>1646</v>
      </c>
      <c r="C48" s="1130"/>
      <c r="D48" s="1131"/>
    </row>
    <row r="49" spans="1:4" ht="21" customHeight="1" x14ac:dyDescent="0.2">
      <c r="A49" s="1136" t="s">
        <v>1650</v>
      </c>
      <c r="B49" s="1130" t="s">
        <v>1646</v>
      </c>
      <c r="C49" s="1130"/>
      <c r="D49" s="1131"/>
    </row>
    <row r="50" spans="1:4" ht="21" customHeight="1" x14ac:dyDescent="0.2">
      <c r="A50" s="1136" t="s">
        <v>1651</v>
      </c>
      <c r="B50" s="1130" t="s">
        <v>1646</v>
      </c>
      <c r="C50" s="1130"/>
      <c r="D50" s="1131"/>
    </row>
    <row r="51" spans="1:4" ht="57" customHeight="1" x14ac:dyDescent="0.2">
      <c r="A51" s="1136" t="s">
        <v>1656</v>
      </c>
      <c r="B51" s="1130" t="s">
        <v>1646</v>
      </c>
      <c r="C51" s="1130"/>
      <c r="D51" s="1131"/>
    </row>
    <row r="52" spans="1:4" ht="45" customHeight="1" x14ac:dyDescent="0.2">
      <c r="A52" s="1136" t="s">
        <v>1653</v>
      </c>
      <c r="B52" s="1130" t="s">
        <v>1646</v>
      </c>
      <c r="C52" s="1130"/>
      <c r="D52" s="1131"/>
    </row>
    <row r="53" spans="1:4" ht="15" customHeight="1" x14ac:dyDescent="0.2">
      <c r="A53" s="1136" t="s">
        <v>1654</v>
      </c>
      <c r="B53" s="1130" t="s">
        <v>1646</v>
      </c>
      <c r="C53" s="1130"/>
      <c r="D53" s="1131"/>
    </row>
    <row r="54" spans="1:4" ht="15" customHeight="1" x14ac:dyDescent="0.2">
      <c r="A54" s="1136" t="s">
        <v>1652</v>
      </c>
      <c r="B54" s="1130" t="s">
        <v>1646</v>
      </c>
      <c r="C54" s="1130"/>
      <c r="D54" s="1131"/>
    </row>
    <row r="55" spans="1:4" ht="15" customHeight="1" x14ac:dyDescent="0.2">
      <c r="A55" s="1136" t="s">
        <v>1655</v>
      </c>
      <c r="B55" s="1130" t="s">
        <v>1646</v>
      </c>
      <c r="C55" s="1130"/>
      <c r="D55" s="1131"/>
    </row>
    <row r="56" spans="1:4" ht="15" customHeight="1" x14ac:dyDescent="0.2">
      <c r="A56" s="1136" t="s">
        <v>1659</v>
      </c>
      <c r="B56" s="1130" t="s">
        <v>1646</v>
      </c>
      <c r="C56" s="1130"/>
      <c r="D56" s="1131"/>
    </row>
    <row r="57" spans="1:4" ht="15" customHeight="1" x14ac:dyDescent="0.2">
      <c r="A57" s="1136" t="s">
        <v>2212</v>
      </c>
      <c r="B57" s="1130" t="s">
        <v>1646</v>
      </c>
      <c r="C57" s="1130"/>
      <c r="D57" s="1131"/>
    </row>
    <row r="58" spans="1:4" ht="15" customHeight="1" x14ac:dyDescent="0.2">
      <c r="A58" s="1136" t="s">
        <v>1660</v>
      </c>
      <c r="B58" s="1130" t="s">
        <v>1646</v>
      </c>
      <c r="C58" s="1130"/>
      <c r="D58" s="1131"/>
    </row>
    <row r="59" spans="1:4" ht="15" customHeight="1" x14ac:dyDescent="0.2">
      <c r="A59" s="1136" t="s">
        <v>1661</v>
      </c>
      <c r="B59" s="1130" t="s">
        <v>1646</v>
      </c>
      <c r="C59" s="1130"/>
      <c r="D59" s="1131"/>
    </row>
    <row r="60" spans="1:4" ht="15" customHeight="1" x14ac:dyDescent="0.2">
      <c r="A60" s="1137" t="s">
        <v>1680</v>
      </c>
      <c r="B60" s="1130" t="s">
        <v>1646</v>
      </c>
      <c r="C60" s="1130" t="s">
        <v>1646</v>
      </c>
      <c r="D60" s="1131" t="s">
        <v>1646</v>
      </c>
    </row>
    <row r="61" spans="1:4" ht="15" customHeight="1" x14ac:dyDescent="0.2">
      <c r="A61" s="1136" t="s">
        <v>2213</v>
      </c>
      <c r="B61" s="1130" t="s">
        <v>1646</v>
      </c>
      <c r="C61" s="1130" t="s">
        <v>1646</v>
      </c>
      <c r="D61" s="1131"/>
    </row>
    <row r="62" spans="1:4" ht="15" customHeight="1" x14ac:dyDescent="0.2">
      <c r="A62" s="1136" t="s">
        <v>2214</v>
      </c>
      <c r="B62" s="1130" t="s">
        <v>1646</v>
      </c>
      <c r="C62" s="1130" t="s">
        <v>1646</v>
      </c>
      <c r="D62" s="1131"/>
    </row>
    <row r="63" spans="1:4" ht="15" customHeight="1" x14ac:dyDescent="0.2">
      <c r="A63" s="1137" t="s">
        <v>2215</v>
      </c>
      <c r="B63" s="1130" t="s">
        <v>1646</v>
      </c>
      <c r="C63" s="1130" t="s">
        <v>1646</v>
      </c>
      <c r="D63" s="1131"/>
    </row>
    <row r="64" spans="1:4" ht="15" customHeight="1" x14ac:dyDescent="0.2">
      <c r="A64" s="1136" t="s">
        <v>2216</v>
      </c>
      <c r="B64" s="1130" t="s">
        <v>1646</v>
      </c>
      <c r="C64" s="1130"/>
      <c r="D64" s="1131"/>
    </row>
    <row r="65" spans="1:4" ht="15" customHeight="1" x14ac:dyDescent="0.2">
      <c r="A65" s="1136" t="s">
        <v>1662</v>
      </c>
      <c r="B65" s="1130" t="s">
        <v>1646</v>
      </c>
      <c r="C65" s="1130"/>
      <c r="D65" s="1131"/>
    </row>
    <row r="66" spans="1:4" ht="15" customHeight="1" x14ac:dyDescent="0.2">
      <c r="A66" s="1136" t="s">
        <v>2217</v>
      </c>
      <c r="B66" s="1130" t="s">
        <v>1646</v>
      </c>
      <c r="C66" s="1130" t="s">
        <v>1646</v>
      </c>
      <c r="D66" s="1131"/>
    </row>
    <row r="67" spans="1:4" ht="15" customHeight="1" x14ac:dyDescent="0.2">
      <c r="A67" s="1136" t="s">
        <v>1663</v>
      </c>
      <c r="B67" s="1130" t="s">
        <v>1646</v>
      </c>
      <c r="C67" s="1130"/>
      <c r="D67" s="1131"/>
    </row>
    <row r="68" spans="1:4" ht="15" customHeight="1" x14ac:dyDescent="0.2">
      <c r="A68" s="1136" t="s">
        <v>1664</v>
      </c>
      <c r="B68" s="1130" t="s">
        <v>1646</v>
      </c>
      <c r="C68" s="1130"/>
      <c r="D68" s="1131"/>
    </row>
    <row r="69" spans="1:4" ht="15" customHeight="1" x14ac:dyDescent="0.2">
      <c r="A69" s="1136" t="s">
        <v>1665</v>
      </c>
      <c r="B69" s="1130" t="s">
        <v>1646</v>
      </c>
      <c r="C69" s="1130"/>
      <c r="D69" s="1131" t="s">
        <v>1646</v>
      </c>
    </row>
    <row r="70" spans="1:4" ht="15" customHeight="1" x14ac:dyDescent="0.2">
      <c r="A70" s="1136" t="s">
        <v>1666</v>
      </c>
      <c r="B70" s="1130" t="s">
        <v>1646</v>
      </c>
      <c r="C70" s="1130"/>
      <c r="D70" s="1131" t="s">
        <v>1646</v>
      </c>
    </row>
    <row r="71" spans="1:4" ht="15" customHeight="1" x14ac:dyDescent="0.2">
      <c r="A71" s="1136" t="s">
        <v>1667</v>
      </c>
      <c r="B71" s="1130" t="s">
        <v>1646</v>
      </c>
      <c r="C71" s="1130"/>
      <c r="D71" s="1131"/>
    </row>
    <row r="72" spans="1:4" ht="15" customHeight="1" x14ac:dyDescent="0.2">
      <c r="A72" s="1136" t="s">
        <v>1668</v>
      </c>
      <c r="B72" s="1130" t="s">
        <v>1646</v>
      </c>
      <c r="C72" s="1130"/>
      <c r="D72" s="1131"/>
    </row>
    <row r="73" spans="1:4" ht="15" customHeight="1" x14ac:dyDescent="0.2">
      <c r="A73" s="1136" t="s">
        <v>1657</v>
      </c>
      <c r="B73" s="1130" t="s">
        <v>1646</v>
      </c>
      <c r="C73" s="1130"/>
      <c r="D73" s="1131"/>
    </row>
    <row r="74" spans="1:4" ht="15" customHeight="1" x14ac:dyDescent="0.2">
      <c r="A74" s="1136" t="s">
        <v>1658</v>
      </c>
      <c r="B74" s="1130" t="s">
        <v>1646</v>
      </c>
      <c r="C74" s="1130" t="s">
        <v>1646</v>
      </c>
      <c r="D74" s="1131"/>
    </row>
    <row r="75" spans="1:4" ht="15" customHeight="1" x14ac:dyDescent="0.2">
      <c r="A75" s="1136" t="s">
        <v>1682</v>
      </c>
      <c r="B75" s="1130" t="s">
        <v>1646</v>
      </c>
      <c r="C75" s="1130" t="s">
        <v>1646</v>
      </c>
      <c r="D75" s="1131" t="s">
        <v>1646</v>
      </c>
    </row>
    <row r="76" spans="1:4" ht="15" customHeight="1" x14ac:dyDescent="0.2">
      <c r="A76" s="1136" t="s">
        <v>1669</v>
      </c>
      <c r="B76" s="1130" t="s">
        <v>1646</v>
      </c>
      <c r="C76" s="1130"/>
      <c r="D76" s="1131"/>
    </row>
    <row r="77" spans="1:4" ht="15" customHeight="1" x14ac:dyDescent="0.2">
      <c r="A77" s="1136" t="s">
        <v>1670</v>
      </c>
      <c r="B77" s="1130" t="s">
        <v>1646</v>
      </c>
      <c r="C77" s="1130"/>
      <c r="D77" s="1131"/>
    </row>
    <row r="78" spans="1:4" ht="15" customHeight="1" x14ac:dyDescent="0.2">
      <c r="A78" s="1136" t="s">
        <v>1671</v>
      </c>
      <c r="B78" s="1130" t="s">
        <v>1646</v>
      </c>
      <c r="C78" s="1130"/>
      <c r="D78" s="1131"/>
    </row>
    <row r="79" spans="1:4" ht="15" customHeight="1" x14ac:dyDescent="0.2">
      <c r="A79" s="1136" t="s">
        <v>2218</v>
      </c>
      <c r="B79" s="1130" t="s">
        <v>1646</v>
      </c>
      <c r="C79" s="1130" t="s">
        <v>1646</v>
      </c>
      <c r="D79" s="1131"/>
    </row>
    <row r="80" spans="1:4" ht="15" customHeight="1" x14ac:dyDescent="0.2">
      <c r="A80" s="1136" t="s">
        <v>1672</v>
      </c>
      <c r="B80" s="1130" t="s">
        <v>1646</v>
      </c>
      <c r="C80" s="1130"/>
      <c r="D80" s="1131" t="s">
        <v>1646</v>
      </c>
    </row>
    <row r="81" spans="1:4" ht="15" customHeight="1" x14ac:dyDescent="0.2">
      <c r="A81" s="1136" t="s">
        <v>1673</v>
      </c>
      <c r="B81" s="1130" t="s">
        <v>1646</v>
      </c>
      <c r="C81" s="1130"/>
      <c r="D81" s="1131"/>
    </row>
    <row r="82" spans="1:4" ht="15" customHeight="1" x14ac:dyDescent="0.2">
      <c r="A82" s="1136" t="s">
        <v>2219</v>
      </c>
      <c r="B82" s="1130" t="s">
        <v>1646</v>
      </c>
      <c r="C82" s="1130" t="s">
        <v>1646</v>
      </c>
      <c r="D82" s="1131"/>
    </row>
    <row r="83" spans="1:4" ht="15" customHeight="1" x14ac:dyDescent="0.2">
      <c r="A83" s="1137" t="s">
        <v>2220</v>
      </c>
      <c r="B83" s="1130" t="s">
        <v>1646</v>
      </c>
      <c r="C83" s="1130" t="s">
        <v>1646</v>
      </c>
      <c r="D83" s="1131"/>
    </row>
    <row r="84" spans="1:4" ht="15" customHeight="1" x14ac:dyDescent="0.2">
      <c r="A84" s="1136" t="s">
        <v>1674</v>
      </c>
      <c r="B84" s="1130" t="s">
        <v>1646</v>
      </c>
      <c r="C84" s="1130"/>
      <c r="D84" s="1131"/>
    </row>
    <row r="85" spans="1:4" ht="15" customHeight="1" x14ac:dyDescent="0.2">
      <c r="A85" s="1136" t="s">
        <v>1675</v>
      </c>
      <c r="B85" s="1130" t="s">
        <v>1646</v>
      </c>
      <c r="C85" s="1130"/>
      <c r="D85" s="1131"/>
    </row>
    <row r="86" spans="1:4" ht="15" customHeight="1" x14ac:dyDescent="0.2">
      <c r="A86" s="1136" t="s">
        <v>1676</v>
      </c>
      <c r="B86" s="1130" t="s">
        <v>1646</v>
      </c>
      <c r="C86" s="1130"/>
      <c r="D86" s="1131"/>
    </row>
    <row r="87" spans="1:4" ht="15" customHeight="1" x14ac:dyDescent="0.2">
      <c r="A87" s="1137" t="s">
        <v>1684</v>
      </c>
      <c r="B87" s="1130" t="s">
        <v>1646</v>
      </c>
      <c r="C87" s="1130" t="s">
        <v>1646</v>
      </c>
      <c r="D87" s="1131"/>
    </row>
    <row r="88" spans="1:4" ht="15" customHeight="1" x14ac:dyDescent="0.2">
      <c r="A88" s="1136" t="s">
        <v>1677</v>
      </c>
      <c r="B88" s="1130" t="s">
        <v>1646</v>
      </c>
      <c r="C88" s="1130"/>
      <c r="D88" s="1131"/>
    </row>
    <row r="89" spans="1:4" ht="15" customHeight="1" x14ac:dyDescent="0.2">
      <c r="A89" s="1136" t="s">
        <v>1678</v>
      </c>
      <c r="B89" s="1130" t="s">
        <v>1646</v>
      </c>
      <c r="C89" s="1130"/>
      <c r="D89" s="1131" t="s">
        <v>1646</v>
      </c>
    </row>
    <row r="90" spans="1:4" ht="15" customHeight="1" x14ac:dyDescent="0.2">
      <c r="A90" s="1136" t="s">
        <v>1679</v>
      </c>
      <c r="B90" s="1130" t="s">
        <v>1646</v>
      </c>
      <c r="C90" s="1130"/>
      <c r="D90" s="1131"/>
    </row>
    <row r="91" spans="1:4" ht="15" customHeight="1" thickBot="1" x14ac:dyDescent="0.25">
      <c r="A91" s="1138" t="s">
        <v>1685</v>
      </c>
      <c r="B91" s="1139" t="s">
        <v>1646</v>
      </c>
      <c r="C91" s="1139" t="s">
        <v>1646</v>
      </c>
      <c r="D91" s="1140" t="s">
        <v>1646</v>
      </c>
    </row>
  </sheetData>
  <sheetProtection password="C4B9" sheet="1" objects="1" scenarios="1"/>
  <conditionalFormatting sqref="A1:A91">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indexed="10"/>
  </sheetPr>
  <dimension ref="A1:CI89"/>
  <sheetViews>
    <sheetView zoomScaleNormal="100" workbookViewId="0">
      <selection sqref="A1:C1"/>
    </sheetView>
  </sheetViews>
  <sheetFormatPr defaultColWidth="9.33203125" defaultRowHeight="12.75" x14ac:dyDescent="0.2"/>
  <cols>
    <col min="1" max="1" width="4.83203125" style="24" customWidth="1"/>
    <col min="2" max="2" width="49.83203125" style="27" customWidth="1"/>
    <col min="3" max="5" width="42.83203125" style="27" customWidth="1"/>
    <col min="6" max="6" width="7.83203125" style="27" customWidth="1"/>
    <col min="7" max="7" width="7.83203125" style="26" customWidth="1"/>
    <col min="8" max="12" width="5.33203125" style="26" bestFit="1" customWidth="1"/>
    <col min="13" max="17" width="5.33203125" style="27" bestFit="1" customWidth="1"/>
    <col min="18" max="22" width="5.33203125" style="26" bestFit="1" customWidth="1"/>
    <col min="23" max="27" width="5.33203125" style="27" bestFit="1" customWidth="1"/>
    <col min="28" max="32" width="5.33203125" style="26" bestFit="1" customWidth="1"/>
    <col min="33" max="37" width="5.33203125" style="27" bestFit="1" customWidth="1"/>
    <col min="38" max="42" width="5.33203125" style="26" bestFit="1" customWidth="1"/>
    <col min="43" max="47" width="5.33203125" style="27" bestFit="1" customWidth="1"/>
    <col min="48" max="52" width="5.33203125" style="26" bestFit="1" customWidth="1"/>
    <col min="53" max="57" width="5.33203125" style="27" bestFit="1" customWidth="1"/>
    <col min="58" max="62" width="5.33203125" style="26" bestFit="1" customWidth="1"/>
    <col min="63" max="67" width="5.33203125" style="27" bestFit="1" customWidth="1"/>
    <col min="68" max="72" width="5.33203125" style="26" bestFit="1" customWidth="1"/>
    <col min="73" max="77" width="5.33203125" style="27" bestFit="1" customWidth="1"/>
    <col min="78" max="82" width="5.33203125" style="26" bestFit="1" customWidth="1"/>
    <col min="83" max="115" width="5.33203125" style="27" bestFit="1" customWidth="1"/>
    <col min="116" max="16384" width="9.33203125" style="27"/>
  </cols>
  <sheetData>
    <row r="1" spans="1:87" s="24" customFormat="1" ht="27" customHeight="1" thickBot="1" x14ac:dyDescent="0.25">
      <c r="A1" s="1839" t="s">
        <v>2500</v>
      </c>
      <c r="B1" s="1840"/>
      <c r="C1" s="1840"/>
      <c r="D1" s="1725" t="s">
        <v>2545</v>
      </c>
      <c r="E1" s="1725" t="s">
        <v>2544</v>
      </c>
      <c r="F1" s="1726"/>
      <c r="G1" s="1726"/>
    </row>
    <row r="2" spans="1:87" s="70" customFormat="1" ht="64.5" customHeight="1" thickBot="1" x14ac:dyDescent="0.25">
      <c r="A2" s="1912" t="s">
        <v>2355</v>
      </c>
      <c r="B2" s="1913"/>
      <c r="C2" s="1913"/>
      <c r="D2" s="1914"/>
      <c r="E2" s="1915"/>
      <c r="F2" s="1222"/>
      <c r="G2" s="1223" t="s">
        <v>2239</v>
      </c>
      <c r="H2" s="1738" t="s">
        <v>2503</v>
      </c>
      <c r="I2" s="1738" t="s">
        <v>2503</v>
      </c>
      <c r="J2" s="1738" t="s">
        <v>2503</v>
      </c>
      <c r="K2" s="1738" t="s">
        <v>2503</v>
      </c>
      <c r="L2" s="1738" t="s">
        <v>2503</v>
      </c>
      <c r="M2" s="1738" t="s">
        <v>2503</v>
      </c>
      <c r="N2" s="1738" t="s">
        <v>2503</v>
      </c>
      <c r="O2" s="1738" t="s">
        <v>2503</v>
      </c>
      <c r="P2" s="1738" t="s">
        <v>2503</v>
      </c>
      <c r="Q2" s="1738" t="s">
        <v>2503</v>
      </c>
      <c r="R2" s="1738" t="s">
        <v>2503</v>
      </c>
      <c r="S2" s="1738" t="s">
        <v>2503</v>
      </c>
      <c r="T2" s="1738" t="s">
        <v>2503</v>
      </c>
      <c r="U2" s="1738" t="s">
        <v>2503</v>
      </c>
      <c r="V2" s="1738" t="s">
        <v>2503</v>
      </c>
      <c r="W2" s="1738" t="s">
        <v>2503</v>
      </c>
      <c r="X2" s="1738" t="s">
        <v>2503</v>
      </c>
      <c r="Y2" s="1738" t="s">
        <v>2503</v>
      </c>
      <c r="Z2" s="1738" t="s">
        <v>2503</v>
      </c>
      <c r="AA2" s="1738" t="s">
        <v>2503</v>
      </c>
      <c r="AB2" s="1738" t="s">
        <v>2503</v>
      </c>
      <c r="AC2" s="1738" t="s">
        <v>2503</v>
      </c>
      <c r="AD2" s="1738" t="s">
        <v>2503</v>
      </c>
      <c r="AE2" s="1738" t="s">
        <v>2503</v>
      </c>
      <c r="AF2" s="1738" t="s">
        <v>2503</v>
      </c>
      <c r="AG2" s="1738" t="s">
        <v>2503</v>
      </c>
      <c r="AH2" s="1738" t="s">
        <v>2503</v>
      </c>
      <c r="AI2" s="1738" t="s">
        <v>2503</v>
      </c>
      <c r="AJ2" s="1738" t="s">
        <v>2503</v>
      </c>
      <c r="AK2" s="1738" t="s">
        <v>2503</v>
      </c>
      <c r="AL2" s="1738" t="s">
        <v>2503</v>
      </c>
      <c r="AM2" s="1738" t="s">
        <v>2503</v>
      </c>
      <c r="AN2" s="1738" t="s">
        <v>2503</v>
      </c>
      <c r="AO2" s="1738" t="s">
        <v>2503</v>
      </c>
      <c r="AP2" s="1738" t="s">
        <v>2503</v>
      </c>
      <c r="AQ2" s="1738" t="s">
        <v>2503</v>
      </c>
      <c r="AR2" s="1738" t="s">
        <v>2503</v>
      </c>
      <c r="AS2" s="1738" t="s">
        <v>2503</v>
      </c>
      <c r="AT2" s="1738" t="s">
        <v>2503</v>
      </c>
      <c r="AU2" s="1738" t="s">
        <v>2503</v>
      </c>
      <c r="AV2" s="1738" t="s">
        <v>2503</v>
      </c>
      <c r="AW2" s="1738" t="s">
        <v>2503</v>
      </c>
      <c r="AX2" s="1738" t="s">
        <v>2503</v>
      </c>
      <c r="AY2" s="1738" t="s">
        <v>2503</v>
      </c>
      <c r="AZ2" s="1738" t="s">
        <v>2503</v>
      </c>
      <c r="BA2" s="1738" t="s">
        <v>2503</v>
      </c>
      <c r="BB2" s="1738" t="s">
        <v>2503</v>
      </c>
      <c r="BC2" s="1738" t="s">
        <v>2503</v>
      </c>
      <c r="BD2" s="1738" t="s">
        <v>2503</v>
      </c>
      <c r="BE2" s="1738" t="s">
        <v>2503</v>
      </c>
      <c r="BF2" s="1738" t="s">
        <v>2503</v>
      </c>
      <c r="BG2" s="1738" t="s">
        <v>2503</v>
      </c>
      <c r="BH2" s="1738" t="s">
        <v>2503</v>
      </c>
      <c r="BI2" s="1738" t="s">
        <v>2503</v>
      </c>
      <c r="BJ2" s="1738" t="s">
        <v>2503</v>
      </c>
      <c r="BK2" s="1738" t="s">
        <v>2503</v>
      </c>
      <c r="BL2" s="1738" t="s">
        <v>2503</v>
      </c>
      <c r="BM2" s="1738" t="s">
        <v>2503</v>
      </c>
      <c r="BN2" s="1738" t="s">
        <v>2503</v>
      </c>
      <c r="BO2" s="1738" t="s">
        <v>2503</v>
      </c>
      <c r="BP2" s="1738" t="s">
        <v>2503</v>
      </c>
      <c r="BQ2" s="1738" t="s">
        <v>2503</v>
      </c>
      <c r="BR2" s="1738" t="s">
        <v>2503</v>
      </c>
      <c r="BS2" s="1738" t="s">
        <v>2503</v>
      </c>
      <c r="BT2" s="1738" t="s">
        <v>2503</v>
      </c>
      <c r="BU2" s="1738" t="s">
        <v>2503</v>
      </c>
      <c r="BV2" s="1738" t="s">
        <v>2503</v>
      </c>
      <c r="BW2" s="1738" t="s">
        <v>2503</v>
      </c>
      <c r="BX2" s="1738" t="s">
        <v>2503</v>
      </c>
      <c r="BY2" s="1738" t="s">
        <v>2503</v>
      </c>
      <c r="BZ2" s="1738" t="s">
        <v>2503</v>
      </c>
      <c r="CA2" s="1738" t="s">
        <v>2503</v>
      </c>
      <c r="CB2" s="1738" t="s">
        <v>2503</v>
      </c>
      <c r="CC2" s="1738" t="s">
        <v>2503</v>
      </c>
      <c r="CD2" s="1738" t="s">
        <v>2503</v>
      </c>
      <c r="CE2" s="1738" t="s">
        <v>2503</v>
      </c>
      <c r="CF2" s="1738" t="s">
        <v>2503</v>
      </c>
      <c r="CG2" s="1738" t="s">
        <v>2503</v>
      </c>
      <c r="CH2" s="1738" t="s">
        <v>2503</v>
      </c>
      <c r="CI2" s="1738" t="s">
        <v>2503</v>
      </c>
    </row>
    <row r="3" spans="1:87" s="66" customFormat="1" ht="21" customHeight="1" thickBot="1" x14ac:dyDescent="0.25">
      <c r="A3" s="1940" t="s">
        <v>1710</v>
      </c>
      <c r="B3" s="1922" t="s">
        <v>1768</v>
      </c>
      <c r="C3" s="1922"/>
      <c r="D3" s="1922"/>
      <c r="E3" s="1923"/>
      <c r="F3" s="698"/>
      <c r="G3" s="1157"/>
      <c r="H3" s="1743"/>
      <c r="I3" s="1743"/>
      <c r="J3" s="1743"/>
      <c r="K3" s="1743"/>
      <c r="L3" s="1743"/>
      <c r="M3" s="1743"/>
      <c r="N3" s="1743"/>
      <c r="O3" s="1743"/>
      <c r="P3" s="1743"/>
      <c r="Q3" s="1743"/>
      <c r="R3" s="1743"/>
      <c r="S3" s="1743"/>
      <c r="T3" s="1743"/>
      <c r="U3" s="1743"/>
      <c r="V3" s="1743"/>
      <c r="W3" s="1743"/>
      <c r="X3" s="1743"/>
      <c r="Y3" s="1743"/>
      <c r="Z3" s="1743"/>
      <c r="AA3" s="1743"/>
      <c r="AB3" s="1743"/>
      <c r="AC3" s="1743"/>
      <c r="AD3" s="1743"/>
      <c r="AE3" s="1743"/>
      <c r="AF3" s="1743"/>
      <c r="AG3" s="1743"/>
      <c r="AH3" s="1743"/>
      <c r="AI3" s="1743"/>
      <c r="AJ3" s="1743"/>
      <c r="AK3" s="1743"/>
      <c r="AL3" s="1743"/>
      <c r="AM3" s="1743"/>
      <c r="AN3" s="1743"/>
      <c r="AO3" s="1743"/>
      <c r="AP3" s="1743"/>
      <c r="AQ3" s="1743"/>
      <c r="AR3" s="1743"/>
      <c r="AS3" s="1743"/>
      <c r="AT3" s="1743"/>
      <c r="AU3" s="1743"/>
      <c r="AV3" s="1743"/>
      <c r="AW3" s="1743"/>
      <c r="AX3" s="1743"/>
      <c r="AY3" s="1743"/>
      <c r="AZ3" s="1743"/>
      <c r="BA3" s="1743"/>
      <c r="BB3" s="1743"/>
      <c r="BC3" s="1743"/>
      <c r="BD3" s="1743"/>
      <c r="BE3" s="1743"/>
      <c r="BF3" s="1743"/>
      <c r="BG3" s="1743"/>
      <c r="BH3" s="1743"/>
      <c r="BI3" s="1743"/>
      <c r="BJ3" s="1743"/>
      <c r="BK3" s="1743"/>
      <c r="BL3" s="1743"/>
      <c r="BM3" s="1743"/>
      <c r="BN3" s="1743"/>
      <c r="BO3" s="1743"/>
      <c r="BP3" s="1743"/>
      <c r="BQ3" s="1743"/>
      <c r="BR3" s="1743"/>
      <c r="BS3" s="1743"/>
      <c r="BT3" s="1743"/>
      <c r="BU3" s="1743"/>
      <c r="BV3" s="1743"/>
      <c r="BW3" s="1743"/>
      <c r="BX3" s="1743"/>
      <c r="BY3" s="1743"/>
      <c r="BZ3" s="1743"/>
      <c r="CA3" s="1743"/>
      <c r="CB3" s="1743"/>
      <c r="CC3" s="1743"/>
      <c r="CD3" s="1743"/>
      <c r="CE3" s="1743"/>
      <c r="CF3" s="1743"/>
      <c r="CG3" s="1743"/>
      <c r="CH3" s="1743"/>
      <c r="CI3" s="1743"/>
    </row>
    <row r="4" spans="1:87" s="66" customFormat="1" ht="30" customHeight="1" thickBot="1" x14ac:dyDescent="0.25">
      <c r="A4" s="1941"/>
      <c r="B4" s="1927" t="s">
        <v>2452</v>
      </c>
      <c r="C4" s="1972"/>
      <c r="D4" s="1972"/>
      <c r="E4" s="1973"/>
      <c r="F4" s="706"/>
      <c r="G4" s="1158"/>
      <c r="H4" s="1747"/>
      <c r="I4" s="1747"/>
      <c r="J4" s="1747"/>
      <c r="K4" s="1747"/>
      <c r="L4" s="1747"/>
      <c r="M4" s="1747"/>
      <c r="N4" s="1747"/>
      <c r="O4" s="1747"/>
      <c r="P4" s="1747"/>
      <c r="Q4" s="1747"/>
      <c r="R4" s="1747"/>
      <c r="S4" s="1747"/>
      <c r="T4" s="1747"/>
      <c r="U4" s="1747"/>
      <c r="V4" s="1747"/>
      <c r="W4" s="1747"/>
      <c r="X4" s="1747"/>
      <c r="Y4" s="1747"/>
      <c r="Z4" s="1747"/>
      <c r="AA4" s="1747"/>
      <c r="AB4" s="1747"/>
      <c r="AC4" s="1747"/>
      <c r="AD4" s="1747"/>
      <c r="AE4" s="1747"/>
      <c r="AF4" s="1747"/>
      <c r="AG4" s="1747"/>
      <c r="AH4" s="1747"/>
      <c r="AI4" s="1747"/>
      <c r="AJ4" s="1747"/>
      <c r="AK4" s="1747"/>
      <c r="AL4" s="1747"/>
      <c r="AM4" s="1747"/>
      <c r="AN4" s="1747"/>
      <c r="AO4" s="1747"/>
      <c r="AP4" s="1747"/>
      <c r="AQ4" s="1747"/>
      <c r="AR4" s="1747"/>
      <c r="AS4" s="1747"/>
      <c r="AT4" s="1747"/>
      <c r="AU4" s="1747"/>
      <c r="AV4" s="1747"/>
      <c r="AW4" s="1747"/>
      <c r="AX4" s="1747"/>
      <c r="AY4" s="1747"/>
      <c r="AZ4" s="1747"/>
      <c r="BA4" s="1747"/>
      <c r="BB4" s="1747"/>
      <c r="BC4" s="1747"/>
      <c r="BD4" s="1747"/>
      <c r="BE4" s="1747"/>
      <c r="BF4" s="1747"/>
      <c r="BG4" s="1747"/>
      <c r="BH4" s="1747"/>
      <c r="BI4" s="1747"/>
      <c r="BJ4" s="1747"/>
      <c r="BK4" s="1747"/>
      <c r="BL4" s="1747"/>
      <c r="BM4" s="1747"/>
      <c r="BN4" s="1747"/>
      <c r="BO4" s="1747"/>
      <c r="BP4" s="1747"/>
      <c r="BQ4" s="1747"/>
      <c r="BR4" s="1747"/>
      <c r="BS4" s="1747"/>
      <c r="BT4" s="1747"/>
      <c r="BU4" s="1747"/>
      <c r="BV4" s="1747"/>
      <c r="BW4" s="1747"/>
      <c r="BX4" s="1747"/>
      <c r="BY4" s="1747"/>
      <c r="BZ4" s="1747"/>
      <c r="CA4" s="1747"/>
      <c r="CB4" s="1747"/>
      <c r="CC4" s="1747"/>
      <c r="CD4" s="1747"/>
      <c r="CE4" s="1747"/>
      <c r="CF4" s="1747"/>
      <c r="CG4" s="1747"/>
      <c r="CH4" s="1747"/>
      <c r="CI4" s="1747"/>
    </row>
    <row r="5" spans="1:87" s="66" customFormat="1" ht="15" customHeight="1" thickBot="1" x14ac:dyDescent="0.25">
      <c r="A5" s="1941"/>
      <c r="B5" s="1924" t="s">
        <v>1773</v>
      </c>
      <c r="C5" s="1924"/>
      <c r="D5" s="1924"/>
      <c r="E5" s="1925"/>
      <c r="F5" s="703"/>
      <c r="G5" s="1158"/>
      <c r="H5" s="1744"/>
      <c r="I5" s="1744"/>
      <c r="J5" s="1744"/>
      <c r="K5" s="1744"/>
      <c r="L5" s="1744"/>
      <c r="M5" s="1744"/>
      <c r="N5" s="1744"/>
      <c r="O5" s="1744"/>
      <c r="P5" s="1744"/>
      <c r="Q5" s="1744"/>
      <c r="R5" s="1744"/>
      <c r="S5" s="1744"/>
      <c r="T5" s="1744"/>
      <c r="U5" s="1744"/>
      <c r="V5" s="1744"/>
      <c r="W5" s="1744"/>
      <c r="X5" s="1744"/>
      <c r="Y5" s="1744"/>
      <c r="Z5" s="1744"/>
      <c r="AA5" s="1744"/>
      <c r="AB5" s="1744"/>
      <c r="AC5" s="1744"/>
      <c r="AD5" s="1744"/>
      <c r="AE5" s="1744"/>
      <c r="AF5" s="1744"/>
      <c r="AG5" s="1744"/>
      <c r="AH5" s="1744"/>
      <c r="AI5" s="1744"/>
      <c r="AJ5" s="1744"/>
      <c r="AK5" s="1744"/>
      <c r="AL5" s="1744"/>
      <c r="AM5" s="1744"/>
      <c r="AN5" s="1744"/>
      <c r="AO5" s="1744"/>
      <c r="AP5" s="1744"/>
      <c r="AQ5" s="1744"/>
      <c r="AR5" s="1744"/>
      <c r="AS5" s="1744"/>
      <c r="AT5" s="1744"/>
      <c r="AU5" s="1744"/>
      <c r="AV5" s="1744"/>
      <c r="AW5" s="1744"/>
      <c r="AX5" s="1744"/>
      <c r="AY5" s="1744"/>
      <c r="AZ5" s="1744"/>
      <c r="BA5" s="1744"/>
      <c r="BB5" s="1744"/>
      <c r="BC5" s="1744"/>
      <c r="BD5" s="1744"/>
      <c r="BE5" s="1744"/>
      <c r="BF5" s="1744"/>
      <c r="BG5" s="1744"/>
      <c r="BH5" s="1744"/>
      <c r="BI5" s="1744"/>
      <c r="BJ5" s="1744"/>
      <c r="BK5" s="1744"/>
      <c r="BL5" s="1744"/>
      <c r="BM5" s="1744"/>
      <c r="BN5" s="1744"/>
      <c r="BO5" s="1744"/>
      <c r="BP5" s="1744"/>
      <c r="BQ5" s="1744"/>
      <c r="BR5" s="1744"/>
      <c r="BS5" s="1744"/>
      <c r="BT5" s="1744"/>
      <c r="BU5" s="1744"/>
      <c r="BV5" s="1744"/>
      <c r="BW5" s="1744"/>
      <c r="BX5" s="1744"/>
      <c r="BY5" s="1744"/>
      <c r="BZ5" s="1744"/>
      <c r="CA5" s="1744"/>
      <c r="CB5" s="1744"/>
      <c r="CC5" s="1744"/>
      <c r="CD5" s="1744"/>
      <c r="CE5" s="1744"/>
      <c r="CF5" s="1744"/>
      <c r="CG5" s="1744"/>
      <c r="CH5" s="1744"/>
      <c r="CI5" s="1744"/>
    </row>
    <row r="6" spans="1:87" s="66" customFormat="1" ht="15" customHeight="1" thickBot="1" x14ac:dyDescent="0.25">
      <c r="A6" s="1941"/>
      <c r="B6" s="1916" t="s">
        <v>1774</v>
      </c>
      <c r="C6" s="1917"/>
      <c r="D6" s="1917"/>
      <c r="E6" s="1926"/>
      <c r="F6" s="703"/>
      <c r="G6" s="1158"/>
      <c r="H6" s="1744"/>
      <c r="I6" s="1744"/>
      <c r="J6" s="1744"/>
      <c r="K6" s="1744"/>
      <c r="L6" s="1744"/>
      <c r="M6" s="1744"/>
      <c r="N6" s="1744"/>
      <c r="O6" s="1744"/>
      <c r="P6" s="1744"/>
      <c r="Q6" s="1744"/>
      <c r="R6" s="1744"/>
      <c r="S6" s="1744"/>
      <c r="T6" s="1744"/>
      <c r="U6" s="1744"/>
      <c r="V6" s="1744"/>
      <c r="W6" s="1744"/>
      <c r="X6" s="1744"/>
      <c r="Y6" s="1744"/>
      <c r="Z6" s="1744"/>
      <c r="AA6" s="1744"/>
      <c r="AB6" s="1744"/>
      <c r="AC6" s="1744"/>
      <c r="AD6" s="1744"/>
      <c r="AE6" s="1744"/>
      <c r="AF6" s="1744"/>
      <c r="AG6" s="1744"/>
      <c r="AH6" s="1744"/>
      <c r="AI6" s="1744"/>
      <c r="AJ6" s="1744"/>
      <c r="AK6" s="1744"/>
      <c r="AL6" s="1744"/>
      <c r="AM6" s="1744"/>
      <c r="AN6" s="1744"/>
      <c r="AO6" s="1744"/>
      <c r="AP6" s="1744"/>
      <c r="AQ6" s="1744"/>
      <c r="AR6" s="1744"/>
      <c r="AS6" s="1744"/>
      <c r="AT6" s="1744"/>
      <c r="AU6" s="1744"/>
      <c r="AV6" s="1744"/>
      <c r="AW6" s="1744"/>
      <c r="AX6" s="1744"/>
      <c r="AY6" s="1744"/>
      <c r="AZ6" s="1744"/>
      <c r="BA6" s="1744"/>
      <c r="BB6" s="1744"/>
      <c r="BC6" s="1744"/>
      <c r="BD6" s="1744"/>
      <c r="BE6" s="1744"/>
      <c r="BF6" s="1744"/>
      <c r="BG6" s="1744"/>
      <c r="BH6" s="1744"/>
      <c r="BI6" s="1744"/>
      <c r="BJ6" s="1744"/>
      <c r="BK6" s="1744"/>
      <c r="BL6" s="1744"/>
      <c r="BM6" s="1744"/>
      <c r="BN6" s="1744"/>
      <c r="BO6" s="1744"/>
      <c r="BP6" s="1744"/>
      <c r="BQ6" s="1744"/>
      <c r="BR6" s="1744"/>
      <c r="BS6" s="1744"/>
      <c r="BT6" s="1744"/>
      <c r="BU6" s="1744"/>
      <c r="BV6" s="1744"/>
      <c r="BW6" s="1744"/>
      <c r="BX6" s="1744"/>
      <c r="BY6" s="1744"/>
      <c r="BZ6" s="1744"/>
      <c r="CA6" s="1744"/>
      <c r="CB6" s="1744"/>
      <c r="CC6" s="1744"/>
      <c r="CD6" s="1744"/>
      <c r="CE6" s="1744"/>
      <c r="CF6" s="1744"/>
      <c r="CG6" s="1744"/>
      <c r="CH6" s="1744"/>
      <c r="CI6" s="1744"/>
    </row>
    <row r="7" spans="1:87" s="66" customFormat="1" ht="15" customHeight="1" thickBot="1" x14ac:dyDescent="0.25">
      <c r="A7" s="1941"/>
      <c r="B7" s="1924" t="s">
        <v>1776</v>
      </c>
      <c r="C7" s="1924"/>
      <c r="D7" s="1924"/>
      <c r="E7" s="1925"/>
      <c r="F7" s="703"/>
      <c r="G7" s="1158"/>
      <c r="H7" s="1744"/>
      <c r="I7" s="1744"/>
      <c r="J7" s="1744"/>
      <c r="K7" s="1744"/>
      <c r="L7" s="1744"/>
      <c r="M7" s="1744"/>
      <c r="N7" s="1744"/>
      <c r="O7" s="1744"/>
      <c r="P7" s="1744"/>
      <c r="Q7" s="1744"/>
      <c r="R7" s="1744"/>
      <c r="S7" s="1744"/>
      <c r="T7" s="1744"/>
      <c r="U7" s="1744"/>
      <c r="V7" s="1744"/>
      <c r="W7" s="1744"/>
      <c r="X7" s="1744"/>
      <c r="Y7" s="1744"/>
      <c r="Z7" s="1744"/>
      <c r="AA7" s="1744"/>
      <c r="AB7" s="1744"/>
      <c r="AC7" s="1744"/>
      <c r="AD7" s="1744"/>
      <c r="AE7" s="1744"/>
      <c r="AF7" s="1744"/>
      <c r="AG7" s="1744"/>
      <c r="AH7" s="1744"/>
      <c r="AI7" s="1744"/>
      <c r="AJ7" s="1744"/>
      <c r="AK7" s="1744"/>
      <c r="AL7" s="1744"/>
      <c r="AM7" s="1744"/>
      <c r="AN7" s="1744"/>
      <c r="AO7" s="1744"/>
      <c r="AP7" s="1744"/>
      <c r="AQ7" s="1744"/>
      <c r="AR7" s="1744"/>
      <c r="AS7" s="1744"/>
      <c r="AT7" s="1744"/>
      <c r="AU7" s="1744"/>
      <c r="AV7" s="1744"/>
      <c r="AW7" s="1744"/>
      <c r="AX7" s="1744"/>
      <c r="AY7" s="1744"/>
      <c r="AZ7" s="1744"/>
      <c r="BA7" s="1744"/>
      <c r="BB7" s="1744"/>
      <c r="BC7" s="1744"/>
      <c r="BD7" s="1744"/>
      <c r="BE7" s="1744"/>
      <c r="BF7" s="1744"/>
      <c r="BG7" s="1744"/>
      <c r="BH7" s="1744"/>
      <c r="BI7" s="1744"/>
      <c r="BJ7" s="1744"/>
      <c r="BK7" s="1744"/>
      <c r="BL7" s="1744"/>
      <c r="BM7" s="1744"/>
      <c r="BN7" s="1744"/>
      <c r="BO7" s="1744"/>
      <c r="BP7" s="1744"/>
      <c r="BQ7" s="1744"/>
      <c r="BR7" s="1744"/>
      <c r="BS7" s="1744"/>
      <c r="BT7" s="1744"/>
      <c r="BU7" s="1744"/>
      <c r="BV7" s="1744"/>
      <c r="BW7" s="1744"/>
      <c r="BX7" s="1744"/>
      <c r="BY7" s="1744"/>
      <c r="BZ7" s="1744"/>
      <c r="CA7" s="1744"/>
      <c r="CB7" s="1744"/>
      <c r="CC7" s="1744"/>
      <c r="CD7" s="1744"/>
      <c r="CE7" s="1744"/>
      <c r="CF7" s="1744"/>
      <c r="CG7" s="1744"/>
      <c r="CH7" s="1744"/>
      <c r="CI7" s="1744"/>
    </row>
    <row r="8" spans="1:87" s="66" customFormat="1" ht="15" customHeight="1" thickBot="1" x14ac:dyDescent="0.25">
      <c r="A8" s="1941"/>
      <c r="B8" s="1916" t="s">
        <v>610</v>
      </c>
      <c r="C8" s="1917"/>
      <c r="D8" s="1917"/>
      <c r="E8" s="1926"/>
      <c r="F8" s="703"/>
      <c r="G8" s="1158"/>
      <c r="H8" s="1744"/>
      <c r="I8" s="1744"/>
      <c r="J8" s="1744"/>
      <c r="K8" s="1744"/>
      <c r="L8" s="1744"/>
      <c r="M8" s="1744"/>
      <c r="N8" s="1744"/>
      <c r="O8" s="1744"/>
      <c r="P8" s="1744"/>
      <c r="Q8" s="1744"/>
      <c r="R8" s="1744"/>
      <c r="S8" s="1744"/>
      <c r="T8" s="1744"/>
      <c r="U8" s="1744"/>
      <c r="V8" s="1744"/>
      <c r="W8" s="1744"/>
      <c r="X8" s="1744"/>
      <c r="Y8" s="1744"/>
      <c r="Z8" s="1744"/>
      <c r="AA8" s="1744"/>
      <c r="AB8" s="1744"/>
      <c r="AC8" s="1744"/>
      <c r="AD8" s="1744"/>
      <c r="AE8" s="1744"/>
      <c r="AF8" s="1744"/>
      <c r="AG8" s="1744"/>
      <c r="AH8" s="1744"/>
      <c r="AI8" s="1744"/>
      <c r="AJ8" s="1744"/>
      <c r="AK8" s="1744"/>
      <c r="AL8" s="1744"/>
      <c r="AM8" s="1744"/>
      <c r="AN8" s="1744"/>
      <c r="AO8" s="1744"/>
      <c r="AP8" s="1744"/>
      <c r="AQ8" s="1744"/>
      <c r="AR8" s="1744"/>
      <c r="AS8" s="1744"/>
      <c r="AT8" s="1744"/>
      <c r="AU8" s="1744"/>
      <c r="AV8" s="1744"/>
      <c r="AW8" s="1744"/>
      <c r="AX8" s="1744"/>
      <c r="AY8" s="1744"/>
      <c r="AZ8" s="1744"/>
      <c r="BA8" s="1744"/>
      <c r="BB8" s="1744"/>
      <c r="BC8" s="1744"/>
      <c r="BD8" s="1744"/>
      <c r="BE8" s="1744"/>
      <c r="BF8" s="1744"/>
      <c r="BG8" s="1744"/>
      <c r="BH8" s="1744"/>
      <c r="BI8" s="1744"/>
      <c r="BJ8" s="1744"/>
      <c r="BK8" s="1744"/>
      <c r="BL8" s="1744"/>
      <c r="BM8" s="1744"/>
      <c r="BN8" s="1744"/>
      <c r="BO8" s="1744"/>
      <c r="BP8" s="1744"/>
      <c r="BQ8" s="1744"/>
      <c r="BR8" s="1744"/>
      <c r="BS8" s="1744"/>
      <c r="BT8" s="1744"/>
      <c r="BU8" s="1744"/>
      <c r="BV8" s="1744"/>
      <c r="BW8" s="1744"/>
      <c r="BX8" s="1744"/>
      <c r="BY8" s="1744"/>
      <c r="BZ8" s="1744"/>
      <c r="CA8" s="1744"/>
      <c r="CB8" s="1744"/>
      <c r="CC8" s="1744"/>
      <c r="CD8" s="1744"/>
      <c r="CE8" s="1744"/>
      <c r="CF8" s="1744"/>
      <c r="CG8" s="1744"/>
      <c r="CH8" s="1744"/>
      <c r="CI8" s="1744"/>
    </row>
    <row r="9" spans="1:87" s="66" customFormat="1" ht="15" customHeight="1" thickBot="1" x14ac:dyDescent="0.25">
      <c r="A9" s="1941"/>
      <c r="B9" s="1916" t="s">
        <v>1777</v>
      </c>
      <c r="C9" s="1916"/>
      <c r="D9" s="1916"/>
      <c r="E9" s="1974"/>
      <c r="F9" s="703"/>
      <c r="G9" s="1158"/>
      <c r="H9" s="1744"/>
      <c r="I9" s="1744"/>
      <c r="J9" s="1744"/>
      <c r="K9" s="1744"/>
      <c r="L9" s="1744"/>
      <c r="M9" s="1744"/>
      <c r="N9" s="1744"/>
      <c r="O9" s="1744"/>
      <c r="P9" s="1744"/>
      <c r="Q9" s="1744"/>
      <c r="R9" s="1744"/>
      <c r="S9" s="1744"/>
      <c r="T9" s="1744"/>
      <c r="U9" s="1744"/>
      <c r="V9" s="1744"/>
      <c r="W9" s="1744"/>
      <c r="X9" s="1744"/>
      <c r="Y9" s="1744"/>
      <c r="Z9" s="1744"/>
      <c r="AA9" s="1744"/>
      <c r="AB9" s="1744"/>
      <c r="AC9" s="1744"/>
      <c r="AD9" s="1744"/>
      <c r="AE9" s="1744"/>
      <c r="AF9" s="1744"/>
      <c r="AG9" s="1744"/>
      <c r="AH9" s="1744"/>
      <c r="AI9" s="1744"/>
      <c r="AJ9" s="1744"/>
      <c r="AK9" s="1744"/>
      <c r="AL9" s="1744"/>
      <c r="AM9" s="1744"/>
      <c r="AN9" s="1744"/>
      <c r="AO9" s="1744"/>
      <c r="AP9" s="1744"/>
      <c r="AQ9" s="1744"/>
      <c r="AR9" s="1744"/>
      <c r="AS9" s="1744"/>
      <c r="AT9" s="1744"/>
      <c r="AU9" s="1744"/>
      <c r="AV9" s="1744"/>
      <c r="AW9" s="1744"/>
      <c r="AX9" s="1744"/>
      <c r="AY9" s="1744"/>
      <c r="AZ9" s="1744"/>
      <c r="BA9" s="1744"/>
      <c r="BB9" s="1744"/>
      <c r="BC9" s="1744"/>
      <c r="BD9" s="1744"/>
      <c r="BE9" s="1744"/>
      <c r="BF9" s="1744"/>
      <c r="BG9" s="1744"/>
      <c r="BH9" s="1744"/>
      <c r="BI9" s="1744"/>
      <c r="BJ9" s="1744"/>
      <c r="BK9" s="1744"/>
      <c r="BL9" s="1744"/>
      <c r="BM9" s="1744"/>
      <c r="BN9" s="1744"/>
      <c r="BO9" s="1744"/>
      <c r="BP9" s="1744"/>
      <c r="BQ9" s="1744"/>
      <c r="BR9" s="1744"/>
      <c r="BS9" s="1744"/>
      <c r="BT9" s="1744"/>
      <c r="BU9" s="1744"/>
      <c r="BV9" s="1744"/>
      <c r="BW9" s="1744"/>
      <c r="BX9" s="1744"/>
      <c r="BY9" s="1744"/>
      <c r="BZ9" s="1744"/>
      <c r="CA9" s="1744"/>
      <c r="CB9" s="1744"/>
      <c r="CC9" s="1744"/>
      <c r="CD9" s="1744"/>
      <c r="CE9" s="1744"/>
      <c r="CF9" s="1744"/>
      <c r="CG9" s="1744"/>
      <c r="CH9" s="1744"/>
      <c r="CI9" s="1744"/>
    </row>
    <row r="10" spans="1:87" s="66" customFormat="1" ht="15" customHeight="1" thickBot="1" x14ac:dyDescent="0.25">
      <c r="A10" s="1941"/>
      <c r="B10" s="1916" t="s">
        <v>1769</v>
      </c>
      <c r="C10" s="1917"/>
      <c r="D10" s="1917"/>
      <c r="E10" s="1926"/>
      <c r="F10" s="703"/>
      <c r="G10" s="1158"/>
      <c r="H10" s="1744"/>
      <c r="I10" s="1744"/>
      <c r="J10" s="1744"/>
      <c r="K10" s="1744"/>
      <c r="L10" s="1744"/>
      <c r="M10" s="1744"/>
      <c r="N10" s="1744"/>
      <c r="O10" s="1744"/>
      <c r="P10" s="1744"/>
      <c r="Q10" s="1744"/>
      <c r="R10" s="1744"/>
      <c r="S10" s="1744"/>
      <c r="T10" s="1744"/>
      <c r="U10" s="1744"/>
      <c r="V10" s="1744"/>
      <c r="W10" s="1744"/>
      <c r="X10" s="1744"/>
      <c r="Y10" s="1744"/>
      <c r="Z10" s="1744"/>
      <c r="AA10" s="1744"/>
      <c r="AB10" s="1744"/>
      <c r="AC10" s="1744"/>
      <c r="AD10" s="1744"/>
      <c r="AE10" s="1744"/>
      <c r="AF10" s="1744"/>
      <c r="AG10" s="1744"/>
      <c r="AH10" s="1744"/>
      <c r="AI10" s="1744"/>
      <c r="AJ10" s="1744"/>
      <c r="AK10" s="1744"/>
      <c r="AL10" s="1744"/>
      <c r="AM10" s="1744"/>
      <c r="AN10" s="1744"/>
      <c r="AO10" s="1744"/>
      <c r="AP10" s="1744"/>
      <c r="AQ10" s="1744"/>
      <c r="AR10" s="1744"/>
      <c r="AS10" s="1744"/>
      <c r="AT10" s="1744"/>
      <c r="AU10" s="1744"/>
      <c r="AV10" s="1744"/>
      <c r="AW10" s="1744"/>
      <c r="AX10" s="1744"/>
      <c r="AY10" s="1744"/>
      <c r="AZ10" s="1744"/>
      <c r="BA10" s="1744"/>
      <c r="BB10" s="1744"/>
      <c r="BC10" s="1744"/>
      <c r="BD10" s="1744"/>
      <c r="BE10" s="1744"/>
      <c r="BF10" s="1744"/>
      <c r="BG10" s="1744"/>
      <c r="BH10" s="1744"/>
      <c r="BI10" s="1744"/>
      <c r="BJ10" s="1744"/>
      <c r="BK10" s="1744"/>
      <c r="BL10" s="1744"/>
      <c r="BM10" s="1744"/>
      <c r="BN10" s="1744"/>
      <c r="BO10" s="1744"/>
      <c r="BP10" s="1744"/>
      <c r="BQ10" s="1744"/>
      <c r="BR10" s="1744"/>
      <c r="BS10" s="1744"/>
      <c r="BT10" s="1744"/>
      <c r="BU10" s="1744"/>
      <c r="BV10" s="1744"/>
      <c r="BW10" s="1744"/>
      <c r="BX10" s="1744"/>
      <c r="BY10" s="1744"/>
      <c r="BZ10" s="1744"/>
      <c r="CA10" s="1744"/>
      <c r="CB10" s="1744"/>
      <c r="CC10" s="1744"/>
      <c r="CD10" s="1744"/>
      <c r="CE10" s="1744"/>
      <c r="CF10" s="1744"/>
      <c r="CG10" s="1744"/>
      <c r="CH10" s="1744"/>
      <c r="CI10" s="1744"/>
    </row>
    <row r="11" spans="1:87" s="66" customFormat="1" ht="15" customHeight="1" thickBot="1" x14ac:dyDescent="0.25">
      <c r="A11" s="1941"/>
      <c r="B11" s="1916" t="s">
        <v>1770</v>
      </c>
      <c r="C11" s="1917"/>
      <c r="D11" s="1917"/>
      <c r="E11" s="1926"/>
      <c r="F11" s="703"/>
      <c r="G11" s="1158"/>
      <c r="H11" s="1744"/>
      <c r="I11" s="1744"/>
      <c r="J11" s="1744"/>
      <c r="K11" s="1744"/>
      <c r="L11" s="1744"/>
      <c r="M11" s="1744"/>
      <c r="N11" s="1744"/>
      <c r="O11" s="1744"/>
      <c r="P11" s="1744"/>
      <c r="Q11" s="1744"/>
      <c r="R11" s="1744"/>
      <c r="S11" s="1744"/>
      <c r="T11" s="1744"/>
      <c r="U11" s="1744"/>
      <c r="V11" s="1744"/>
      <c r="W11" s="1744"/>
      <c r="X11" s="1744"/>
      <c r="Y11" s="1744"/>
      <c r="Z11" s="1744"/>
      <c r="AA11" s="1744"/>
      <c r="AB11" s="1744"/>
      <c r="AC11" s="1744"/>
      <c r="AD11" s="1744"/>
      <c r="AE11" s="1744"/>
      <c r="AF11" s="1744"/>
      <c r="AG11" s="1744"/>
      <c r="AH11" s="1744"/>
      <c r="AI11" s="1744"/>
      <c r="AJ11" s="1744"/>
      <c r="AK11" s="1744"/>
      <c r="AL11" s="1744"/>
      <c r="AM11" s="1744"/>
      <c r="AN11" s="1744"/>
      <c r="AO11" s="1744"/>
      <c r="AP11" s="1744"/>
      <c r="AQ11" s="1744"/>
      <c r="AR11" s="1744"/>
      <c r="AS11" s="1744"/>
      <c r="AT11" s="1744"/>
      <c r="AU11" s="1744"/>
      <c r="AV11" s="1744"/>
      <c r="AW11" s="1744"/>
      <c r="AX11" s="1744"/>
      <c r="AY11" s="1744"/>
      <c r="AZ11" s="1744"/>
      <c r="BA11" s="1744"/>
      <c r="BB11" s="1744"/>
      <c r="BC11" s="1744"/>
      <c r="BD11" s="1744"/>
      <c r="BE11" s="1744"/>
      <c r="BF11" s="1744"/>
      <c r="BG11" s="1744"/>
      <c r="BH11" s="1744"/>
      <c r="BI11" s="1744"/>
      <c r="BJ11" s="1744"/>
      <c r="BK11" s="1744"/>
      <c r="BL11" s="1744"/>
      <c r="BM11" s="1744"/>
      <c r="BN11" s="1744"/>
      <c r="BO11" s="1744"/>
      <c r="BP11" s="1744"/>
      <c r="BQ11" s="1744"/>
      <c r="BR11" s="1744"/>
      <c r="BS11" s="1744"/>
      <c r="BT11" s="1744"/>
      <c r="BU11" s="1744"/>
      <c r="BV11" s="1744"/>
      <c r="BW11" s="1744"/>
      <c r="BX11" s="1744"/>
      <c r="BY11" s="1744"/>
      <c r="BZ11" s="1744"/>
      <c r="CA11" s="1744"/>
      <c r="CB11" s="1744"/>
      <c r="CC11" s="1744"/>
      <c r="CD11" s="1744"/>
      <c r="CE11" s="1744"/>
      <c r="CF11" s="1744"/>
      <c r="CG11" s="1744"/>
      <c r="CH11" s="1744"/>
      <c r="CI11" s="1744"/>
    </row>
    <row r="12" spans="1:87" s="66" customFormat="1" ht="15" customHeight="1" thickBot="1" x14ac:dyDescent="0.25">
      <c r="A12" s="1941"/>
      <c r="B12" s="1924" t="s">
        <v>1772</v>
      </c>
      <c r="C12" s="1924"/>
      <c r="D12" s="1924"/>
      <c r="E12" s="1925"/>
      <c r="F12" s="703"/>
      <c r="G12" s="1158"/>
      <c r="H12" s="1744"/>
      <c r="I12" s="1744"/>
      <c r="J12" s="1744"/>
      <c r="K12" s="1744"/>
      <c r="L12" s="1744"/>
      <c r="M12" s="1744"/>
      <c r="N12" s="1744"/>
      <c r="O12" s="1744"/>
      <c r="P12" s="1744"/>
      <c r="Q12" s="1744"/>
      <c r="R12" s="1744"/>
      <c r="S12" s="1744"/>
      <c r="T12" s="1744"/>
      <c r="U12" s="1744"/>
      <c r="V12" s="1744"/>
      <c r="W12" s="1744"/>
      <c r="X12" s="1744"/>
      <c r="Y12" s="1744"/>
      <c r="Z12" s="1744"/>
      <c r="AA12" s="1744"/>
      <c r="AB12" s="1744"/>
      <c r="AC12" s="1744"/>
      <c r="AD12" s="1744"/>
      <c r="AE12" s="1744"/>
      <c r="AF12" s="1744"/>
      <c r="AG12" s="1744"/>
      <c r="AH12" s="1744"/>
      <c r="AI12" s="1744"/>
      <c r="AJ12" s="1744"/>
      <c r="AK12" s="1744"/>
      <c r="AL12" s="1744"/>
      <c r="AM12" s="1744"/>
      <c r="AN12" s="1744"/>
      <c r="AO12" s="1744"/>
      <c r="AP12" s="1744"/>
      <c r="AQ12" s="1744"/>
      <c r="AR12" s="1744"/>
      <c r="AS12" s="1744"/>
      <c r="AT12" s="1744"/>
      <c r="AU12" s="1744"/>
      <c r="AV12" s="1744"/>
      <c r="AW12" s="1744"/>
      <c r="AX12" s="1744"/>
      <c r="AY12" s="1744"/>
      <c r="AZ12" s="1744"/>
      <c r="BA12" s="1744"/>
      <c r="BB12" s="1744"/>
      <c r="BC12" s="1744"/>
      <c r="BD12" s="1744"/>
      <c r="BE12" s="1744"/>
      <c r="BF12" s="1744"/>
      <c r="BG12" s="1744"/>
      <c r="BH12" s="1744"/>
      <c r="BI12" s="1744"/>
      <c r="BJ12" s="1744"/>
      <c r="BK12" s="1744"/>
      <c r="BL12" s="1744"/>
      <c r="BM12" s="1744"/>
      <c r="BN12" s="1744"/>
      <c r="BO12" s="1744"/>
      <c r="BP12" s="1744"/>
      <c r="BQ12" s="1744"/>
      <c r="BR12" s="1744"/>
      <c r="BS12" s="1744"/>
      <c r="BT12" s="1744"/>
      <c r="BU12" s="1744"/>
      <c r="BV12" s="1744"/>
      <c r="BW12" s="1744"/>
      <c r="BX12" s="1744"/>
      <c r="BY12" s="1744"/>
      <c r="BZ12" s="1744"/>
      <c r="CA12" s="1744"/>
      <c r="CB12" s="1744"/>
      <c r="CC12" s="1744"/>
      <c r="CD12" s="1744"/>
      <c r="CE12" s="1744"/>
      <c r="CF12" s="1744"/>
      <c r="CG12" s="1744"/>
      <c r="CH12" s="1744"/>
      <c r="CI12" s="1744"/>
    </row>
    <row r="13" spans="1:87" s="66" customFormat="1" ht="15" customHeight="1" thickBot="1" x14ac:dyDescent="0.25">
      <c r="A13" s="1941"/>
      <c r="B13" s="1916" t="s">
        <v>1771</v>
      </c>
      <c r="C13" s="1917"/>
      <c r="D13" s="1917"/>
      <c r="E13" s="1926"/>
      <c r="F13" s="703"/>
      <c r="G13" s="1158"/>
      <c r="H13" s="1744"/>
      <c r="I13" s="1744"/>
      <c r="J13" s="1744"/>
      <c r="K13" s="1744"/>
      <c r="L13" s="1744"/>
      <c r="M13" s="1744"/>
      <c r="N13" s="1744"/>
      <c r="O13" s="1744"/>
      <c r="P13" s="1744"/>
      <c r="Q13" s="1744"/>
      <c r="R13" s="1744"/>
      <c r="S13" s="1744"/>
      <c r="T13" s="1744"/>
      <c r="U13" s="1744"/>
      <c r="V13" s="1744"/>
      <c r="W13" s="1744"/>
      <c r="X13" s="1744"/>
      <c r="Y13" s="1744"/>
      <c r="Z13" s="1744"/>
      <c r="AA13" s="1744"/>
      <c r="AB13" s="1744"/>
      <c r="AC13" s="1744"/>
      <c r="AD13" s="1744"/>
      <c r="AE13" s="1744"/>
      <c r="AF13" s="1744"/>
      <c r="AG13" s="1744"/>
      <c r="AH13" s="1744"/>
      <c r="AI13" s="1744"/>
      <c r="AJ13" s="1744"/>
      <c r="AK13" s="1744"/>
      <c r="AL13" s="1744"/>
      <c r="AM13" s="1744"/>
      <c r="AN13" s="1744"/>
      <c r="AO13" s="1744"/>
      <c r="AP13" s="1744"/>
      <c r="AQ13" s="1744"/>
      <c r="AR13" s="1744"/>
      <c r="AS13" s="1744"/>
      <c r="AT13" s="1744"/>
      <c r="AU13" s="1744"/>
      <c r="AV13" s="1744"/>
      <c r="AW13" s="1744"/>
      <c r="AX13" s="1744"/>
      <c r="AY13" s="1744"/>
      <c r="AZ13" s="1744"/>
      <c r="BA13" s="1744"/>
      <c r="BB13" s="1744"/>
      <c r="BC13" s="1744"/>
      <c r="BD13" s="1744"/>
      <c r="BE13" s="1744"/>
      <c r="BF13" s="1744"/>
      <c r="BG13" s="1744"/>
      <c r="BH13" s="1744"/>
      <c r="BI13" s="1744"/>
      <c r="BJ13" s="1744"/>
      <c r="BK13" s="1744"/>
      <c r="BL13" s="1744"/>
      <c r="BM13" s="1744"/>
      <c r="BN13" s="1744"/>
      <c r="BO13" s="1744"/>
      <c r="BP13" s="1744"/>
      <c r="BQ13" s="1744"/>
      <c r="BR13" s="1744"/>
      <c r="BS13" s="1744"/>
      <c r="BT13" s="1744"/>
      <c r="BU13" s="1744"/>
      <c r="BV13" s="1744"/>
      <c r="BW13" s="1744"/>
      <c r="BX13" s="1744"/>
      <c r="BY13" s="1744"/>
      <c r="BZ13" s="1744"/>
      <c r="CA13" s="1744"/>
      <c r="CB13" s="1744"/>
      <c r="CC13" s="1744"/>
      <c r="CD13" s="1744"/>
      <c r="CE13" s="1744"/>
      <c r="CF13" s="1744"/>
      <c r="CG13" s="1744"/>
      <c r="CH13" s="1744"/>
      <c r="CI13" s="1744"/>
    </row>
    <row r="14" spans="1:87" s="66" customFormat="1" ht="15" customHeight="1" thickBot="1" x14ac:dyDescent="0.25">
      <c r="A14" s="1941"/>
      <c r="B14" s="1916" t="s">
        <v>1778</v>
      </c>
      <c r="C14" s="1917"/>
      <c r="D14" s="1917"/>
      <c r="E14" s="1926"/>
      <c r="F14" s="703"/>
      <c r="G14" s="1158"/>
      <c r="H14" s="1744"/>
      <c r="I14" s="1744"/>
      <c r="J14" s="1744"/>
      <c r="K14" s="1744"/>
      <c r="L14" s="1744"/>
      <c r="M14" s="1744"/>
      <c r="N14" s="1744"/>
      <c r="O14" s="1744"/>
      <c r="P14" s="1744"/>
      <c r="Q14" s="1744"/>
      <c r="R14" s="1744"/>
      <c r="S14" s="1744"/>
      <c r="T14" s="1744"/>
      <c r="U14" s="1744"/>
      <c r="V14" s="1744"/>
      <c r="W14" s="1744"/>
      <c r="X14" s="1744"/>
      <c r="Y14" s="1744"/>
      <c r="Z14" s="1744"/>
      <c r="AA14" s="1744"/>
      <c r="AB14" s="1744"/>
      <c r="AC14" s="1744"/>
      <c r="AD14" s="1744"/>
      <c r="AE14" s="1744"/>
      <c r="AF14" s="1744"/>
      <c r="AG14" s="1744"/>
      <c r="AH14" s="1744"/>
      <c r="AI14" s="1744"/>
      <c r="AJ14" s="1744"/>
      <c r="AK14" s="1744"/>
      <c r="AL14" s="1744"/>
      <c r="AM14" s="1744"/>
      <c r="AN14" s="1744"/>
      <c r="AO14" s="1744"/>
      <c r="AP14" s="1744"/>
      <c r="AQ14" s="1744"/>
      <c r="AR14" s="1744"/>
      <c r="AS14" s="1744"/>
      <c r="AT14" s="1744"/>
      <c r="AU14" s="1744"/>
      <c r="AV14" s="1744"/>
      <c r="AW14" s="1744"/>
      <c r="AX14" s="1744"/>
      <c r="AY14" s="1744"/>
      <c r="AZ14" s="1744"/>
      <c r="BA14" s="1744"/>
      <c r="BB14" s="1744"/>
      <c r="BC14" s="1744"/>
      <c r="BD14" s="1744"/>
      <c r="BE14" s="1744"/>
      <c r="BF14" s="1744"/>
      <c r="BG14" s="1744"/>
      <c r="BH14" s="1744"/>
      <c r="BI14" s="1744"/>
      <c r="BJ14" s="1744"/>
      <c r="BK14" s="1744"/>
      <c r="BL14" s="1744"/>
      <c r="BM14" s="1744"/>
      <c r="BN14" s="1744"/>
      <c r="BO14" s="1744"/>
      <c r="BP14" s="1744"/>
      <c r="BQ14" s="1744"/>
      <c r="BR14" s="1744"/>
      <c r="BS14" s="1744"/>
      <c r="BT14" s="1744"/>
      <c r="BU14" s="1744"/>
      <c r="BV14" s="1744"/>
      <c r="BW14" s="1744"/>
      <c r="BX14" s="1744"/>
      <c r="BY14" s="1744"/>
      <c r="BZ14" s="1744"/>
      <c r="CA14" s="1744"/>
      <c r="CB14" s="1744"/>
      <c r="CC14" s="1744"/>
      <c r="CD14" s="1744"/>
      <c r="CE14" s="1744"/>
      <c r="CF14" s="1744"/>
      <c r="CG14" s="1744"/>
      <c r="CH14" s="1744"/>
      <c r="CI14" s="1744"/>
    </row>
    <row r="15" spans="1:87" s="66" customFormat="1" ht="15" customHeight="1" thickBot="1" x14ac:dyDescent="0.25">
      <c r="A15" s="1941"/>
      <c r="B15" s="1916" t="s">
        <v>1775</v>
      </c>
      <c r="C15" s="1917"/>
      <c r="D15" s="1917"/>
      <c r="E15" s="1926"/>
      <c r="F15" s="703"/>
      <c r="G15" s="1158"/>
      <c r="H15" s="1744"/>
      <c r="I15" s="1744"/>
      <c r="J15" s="1744"/>
      <c r="K15" s="1744"/>
      <c r="L15" s="1744"/>
      <c r="M15" s="1744"/>
      <c r="N15" s="1744"/>
      <c r="O15" s="1744"/>
      <c r="P15" s="1744"/>
      <c r="Q15" s="1744"/>
      <c r="R15" s="1744"/>
      <c r="S15" s="1744"/>
      <c r="T15" s="1744"/>
      <c r="U15" s="1744"/>
      <c r="V15" s="1744"/>
      <c r="W15" s="1744"/>
      <c r="X15" s="1744"/>
      <c r="Y15" s="1744"/>
      <c r="Z15" s="1744"/>
      <c r="AA15" s="1744"/>
      <c r="AB15" s="1744"/>
      <c r="AC15" s="1744"/>
      <c r="AD15" s="1744"/>
      <c r="AE15" s="1744"/>
      <c r="AF15" s="1744"/>
      <c r="AG15" s="1744"/>
      <c r="AH15" s="1744"/>
      <c r="AI15" s="1744"/>
      <c r="AJ15" s="1744"/>
      <c r="AK15" s="1744"/>
      <c r="AL15" s="1744"/>
      <c r="AM15" s="1744"/>
      <c r="AN15" s="1744"/>
      <c r="AO15" s="1744"/>
      <c r="AP15" s="1744"/>
      <c r="AQ15" s="1744"/>
      <c r="AR15" s="1744"/>
      <c r="AS15" s="1744"/>
      <c r="AT15" s="1744"/>
      <c r="AU15" s="1744"/>
      <c r="AV15" s="1744"/>
      <c r="AW15" s="1744"/>
      <c r="AX15" s="1744"/>
      <c r="AY15" s="1744"/>
      <c r="AZ15" s="1744"/>
      <c r="BA15" s="1744"/>
      <c r="BB15" s="1744"/>
      <c r="BC15" s="1744"/>
      <c r="BD15" s="1744"/>
      <c r="BE15" s="1744"/>
      <c r="BF15" s="1744"/>
      <c r="BG15" s="1744"/>
      <c r="BH15" s="1744"/>
      <c r="BI15" s="1744"/>
      <c r="BJ15" s="1744"/>
      <c r="BK15" s="1744"/>
      <c r="BL15" s="1744"/>
      <c r="BM15" s="1744"/>
      <c r="BN15" s="1744"/>
      <c r="BO15" s="1744"/>
      <c r="BP15" s="1744"/>
      <c r="BQ15" s="1744"/>
      <c r="BR15" s="1744"/>
      <c r="BS15" s="1744"/>
      <c r="BT15" s="1744"/>
      <c r="BU15" s="1744"/>
      <c r="BV15" s="1744"/>
      <c r="BW15" s="1744"/>
      <c r="BX15" s="1744"/>
      <c r="BY15" s="1744"/>
      <c r="BZ15" s="1744"/>
      <c r="CA15" s="1744"/>
      <c r="CB15" s="1744"/>
      <c r="CC15" s="1744"/>
      <c r="CD15" s="1744"/>
      <c r="CE15" s="1744"/>
      <c r="CF15" s="1744"/>
      <c r="CG15" s="1744"/>
      <c r="CH15" s="1744"/>
      <c r="CI15" s="1744"/>
    </row>
    <row r="16" spans="1:87" s="66" customFormat="1" ht="30" customHeight="1" thickBot="1" x14ac:dyDescent="0.25">
      <c r="A16" s="1941"/>
      <c r="B16" s="1927" t="s">
        <v>2235</v>
      </c>
      <c r="C16" s="1928"/>
      <c r="D16" s="1928"/>
      <c r="E16" s="1929"/>
      <c r="F16" s="707"/>
      <c r="G16" s="1156"/>
      <c r="H16" s="1748"/>
      <c r="I16" s="1748"/>
      <c r="J16" s="1748"/>
      <c r="K16" s="1748"/>
      <c r="L16" s="1748"/>
      <c r="M16" s="1748"/>
      <c r="N16" s="1748"/>
      <c r="O16" s="1748"/>
      <c r="P16" s="1748"/>
      <c r="Q16" s="1748"/>
      <c r="R16" s="1748"/>
      <c r="S16" s="1748"/>
      <c r="T16" s="1748"/>
      <c r="U16" s="1748"/>
      <c r="V16" s="1748"/>
      <c r="W16" s="1748"/>
      <c r="X16" s="1748"/>
      <c r="Y16" s="1748"/>
      <c r="Z16" s="1748"/>
      <c r="AA16" s="1748"/>
      <c r="AB16" s="1748"/>
      <c r="AC16" s="1748"/>
      <c r="AD16" s="1748"/>
      <c r="AE16" s="1748"/>
      <c r="AF16" s="1748"/>
      <c r="AG16" s="1748"/>
      <c r="AH16" s="1748"/>
      <c r="AI16" s="1748"/>
      <c r="AJ16" s="1748"/>
      <c r="AK16" s="1748"/>
      <c r="AL16" s="1748"/>
      <c r="AM16" s="1748"/>
      <c r="AN16" s="1748"/>
      <c r="AO16" s="1748"/>
      <c r="AP16" s="1748"/>
      <c r="AQ16" s="1748"/>
      <c r="AR16" s="1748"/>
      <c r="AS16" s="1748"/>
      <c r="AT16" s="1748"/>
      <c r="AU16" s="1748"/>
      <c r="AV16" s="1748"/>
      <c r="AW16" s="1748"/>
      <c r="AX16" s="1748"/>
      <c r="AY16" s="1748"/>
      <c r="AZ16" s="1748"/>
      <c r="BA16" s="1748"/>
      <c r="BB16" s="1748"/>
      <c r="BC16" s="1748"/>
      <c r="BD16" s="1748"/>
      <c r="BE16" s="1748"/>
      <c r="BF16" s="1748"/>
      <c r="BG16" s="1748"/>
      <c r="BH16" s="1748"/>
      <c r="BI16" s="1748"/>
      <c r="BJ16" s="1748"/>
      <c r="BK16" s="1748"/>
      <c r="BL16" s="1748"/>
      <c r="BM16" s="1748"/>
      <c r="BN16" s="1748"/>
      <c r="BO16" s="1748"/>
      <c r="BP16" s="1748"/>
      <c r="BQ16" s="1748"/>
      <c r="BR16" s="1748"/>
      <c r="BS16" s="1748"/>
      <c r="BT16" s="1748"/>
      <c r="BU16" s="1748"/>
      <c r="BV16" s="1748"/>
      <c r="BW16" s="1748"/>
      <c r="BX16" s="1748"/>
      <c r="BY16" s="1748"/>
      <c r="BZ16" s="1748"/>
      <c r="CA16" s="1748"/>
      <c r="CB16" s="1748"/>
      <c r="CC16" s="1748"/>
      <c r="CD16" s="1748"/>
      <c r="CE16" s="1748"/>
      <c r="CF16" s="1748"/>
      <c r="CG16" s="1748"/>
      <c r="CH16" s="1748"/>
      <c r="CI16" s="1748"/>
    </row>
    <row r="17" spans="1:87" s="66" customFormat="1" ht="18" customHeight="1" thickBot="1" x14ac:dyDescent="0.25">
      <c r="A17" s="1941"/>
      <c r="B17" s="1196"/>
      <c r="C17" s="1197" t="s">
        <v>9</v>
      </c>
      <c r="D17" s="1197" t="s">
        <v>11</v>
      </c>
      <c r="E17" s="1198" t="s">
        <v>12</v>
      </c>
      <c r="F17" s="1170"/>
      <c r="G17" s="1155"/>
      <c r="H17" s="1759"/>
      <c r="I17" s="1759"/>
      <c r="J17" s="1759"/>
      <c r="K17" s="1759"/>
      <c r="L17" s="1759"/>
      <c r="M17" s="1759"/>
      <c r="N17" s="1759"/>
      <c r="O17" s="1759"/>
      <c r="P17" s="1759"/>
      <c r="Q17" s="1759"/>
      <c r="R17" s="1759"/>
      <c r="S17" s="1759"/>
      <c r="T17" s="1759"/>
      <c r="U17" s="1759"/>
      <c r="V17" s="1759"/>
      <c r="W17" s="1759"/>
      <c r="X17" s="1759"/>
      <c r="Y17" s="1759"/>
      <c r="Z17" s="1759"/>
      <c r="AA17" s="1759"/>
      <c r="AB17" s="1759"/>
      <c r="AC17" s="1759"/>
      <c r="AD17" s="1759"/>
      <c r="AE17" s="1759"/>
      <c r="AF17" s="1759"/>
      <c r="AG17" s="1759"/>
      <c r="AH17" s="1759"/>
      <c r="AI17" s="1759"/>
      <c r="AJ17" s="1759"/>
      <c r="AK17" s="1759"/>
      <c r="AL17" s="1759"/>
      <c r="AM17" s="1759"/>
      <c r="AN17" s="1759"/>
      <c r="AO17" s="1759"/>
      <c r="AP17" s="1759"/>
      <c r="AQ17" s="1759"/>
      <c r="AR17" s="1759"/>
      <c r="AS17" s="1759"/>
      <c r="AT17" s="1759"/>
      <c r="AU17" s="1759"/>
      <c r="AV17" s="1759"/>
      <c r="AW17" s="1759"/>
      <c r="AX17" s="1759"/>
      <c r="AY17" s="1759"/>
      <c r="AZ17" s="1759"/>
      <c r="BA17" s="1759"/>
      <c r="BB17" s="1759"/>
      <c r="BC17" s="1759"/>
      <c r="BD17" s="1759"/>
      <c r="BE17" s="1759"/>
      <c r="BF17" s="1759"/>
      <c r="BG17" s="1759"/>
      <c r="BH17" s="1759"/>
      <c r="BI17" s="1759"/>
      <c r="BJ17" s="1759"/>
      <c r="BK17" s="1759"/>
      <c r="BL17" s="1759"/>
      <c r="BM17" s="1759"/>
      <c r="BN17" s="1759"/>
      <c r="BO17" s="1759"/>
      <c r="BP17" s="1759"/>
      <c r="BQ17" s="1759"/>
      <c r="BR17" s="1759"/>
      <c r="BS17" s="1759"/>
      <c r="BT17" s="1759"/>
      <c r="BU17" s="1759"/>
      <c r="BV17" s="1759"/>
      <c r="BW17" s="1759"/>
      <c r="BX17" s="1759"/>
      <c r="BY17" s="1759"/>
      <c r="BZ17" s="1759"/>
      <c r="CA17" s="1759"/>
      <c r="CB17" s="1759"/>
      <c r="CC17" s="1759"/>
      <c r="CD17" s="1759"/>
      <c r="CE17" s="1759"/>
      <c r="CF17" s="1759"/>
      <c r="CG17" s="1759"/>
      <c r="CH17" s="1759"/>
      <c r="CI17" s="1759"/>
    </row>
    <row r="18" spans="1:87" s="66" customFormat="1" ht="15" customHeight="1" thickBot="1" x14ac:dyDescent="0.25">
      <c r="A18" s="1941"/>
      <c r="B18" s="1199" t="s">
        <v>1779</v>
      </c>
      <c r="C18" s="1200" t="s">
        <v>437</v>
      </c>
      <c r="D18" s="1200" t="s">
        <v>438</v>
      </c>
      <c r="E18" s="1201" t="s">
        <v>439</v>
      </c>
      <c r="F18" s="704">
        <v>0</v>
      </c>
      <c r="G18" s="1153"/>
      <c r="H18" s="1745">
        <v>0</v>
      </c>
      <c r="I18" s="1745">
        <v>0</v>
      </c>
      <c r="J18" s="1745">
        <v>0</v>
      </c>
      <c r="K18" s="1745">
        <v>0</v>
      </c>
      <c r="L18" s="1745">
        <v>0</v>
      </c>
      <c r="M18" s="1745">
        <v>0</v>
      </c>
      <c r="N18" s="1745">
        <v>0</v>
      </c>
      <c r="O18" s="1745">
        <v>0</v>
      </c>
      <c r="P18" s="1745">
        <v>0</v>
      </c>
      <c r="Q18" s="1745">
        <v>0</v>
      </c>
      <c r="R18" s="1745">
        <v>0</v>
      </c>
      <c r="S18" s="1745">
        <v>0</v>
      </c>
      <c r="T18" s="1745">
        <v>0</v>
      </c>
      <c r="U18" s="1745">
        <v>0</v>
      </c>
      <c r="V18" s="1745">
        <v>0</v>
      </c>
      <c r="W18" s="1745">
        <v>0</v>
      </c>
      <c r="X18" s="1745">
        <v>0</v>
      </c>
      <c r="Y18" s="1745">
        <v>0</v>
      </c>
      <c r="Z18" s="1745">
        <v>0</v>
      </c>
      <c r="AA18" s="1745">
        <v>0</v>
      </c>
      <c r="AB18" s="1745">
        <v>0</v>
      </c>
      <c r="AC18" s="1745">
        <v>0</v>
      </c>
      <c r="AD18" s="1745">
        <v>0</v>
      </c>
      <c r="AE18" s="1745">
        <v>0</v>
      </c>
      <c r="AF18" s="1745">
        <v>0</v>
      </c>
      <c r="AG18" s="1745">
        <v>0</v>
      </c>
      <c r="AH18" s="1745">
        <v>0</v>
      </c>
      <c r="AI18" s="1745">
        <v>0</v>
      </c>
      <c r="AJ18" s="1745">
        <v>0</v>
      </c>
      <c r="AK18" s="1745">
        <v>0</v>
      </c>
      <c r="AL18" s="1745">
        <v>0</v>
      </c>
      <c r="AM18" s="1745">
        <v>0</v>
      </c>
      <c r="AN18" s="1745">
        <v>0</v>
      </c>
      <c r="AO18" s="1745">
        <v>0</v>
      </c>
      <c r="AP18" s="1745">
        <v>0</v>
      </c>
      <c r="AQ18" s="1745">
        <v>0</v>
      </c>
      <c r="AR18" s="1745">
        <v>0</v>
      </c>
      <c r="AS18" s="1745">
        <v>0</v>
      </c>
      <c r="AT18" s="1745">
        <v>0</v>
      </c>
      <c r="AU18" s="1745">
        <v>0</v>
      </c>
      <c r="AV18" s="1745">
        <v>0</v>
      </c>
      <c r="AW18" s="1745">
        <v>0</v>
      </c>
      <c r="AX18" s="1745">
        <v>0</v>
      </c>
      <c r="AY18" s="1745">
        <v>0</v>
      </c>
      <c r="AZ18" s="1745">
        <v>0</v>
      </c>
      <c r="BA18" s="1745">
        <v>0</v>
      </c>
      <c r="BB18" s="1745">
        <v>0</v>
      </c>
      <c r="BC18" s="1745">
        <v>0</v>
      </c>
      <c r="BD18" s="1745">
        <v>0</v>
      </c>
      <c r="BE18" s="1745">
        <v>0</v>
      </c>
      <c r="BF18" s="1745">
        <v>0</v>
      </c>
      <c r="BG18" s="1745">
        <v>0</v>
      </c>
      <c r="BH18" s="1745">
        <v>0</v>
      </c>
      <c r="BI18" s="1745">
        <v>0</v>
      </c>
      <c r="BJ18" s="1745">
        <v>0</v>
      </c>
      <c r="BK18" s="1745">
        <v>0</v>
      </c>
      <c r="BL18" s="1745">
        <v>0</v>
      </c>
      <c r="BM18" s="1745">
        <v>0</v>
      </c>
      <c r="BN18" s="1745">
        <v>0</v>
      </c>
      <c r="BO18" s="1745">
        <v>0</v>
      </c>
      <c r="BP18" s="1745">
        <v>0</v>
      </c>
      <c r="BQ18" s="1745">
        <v>0</v>
      </c>
      <c r="BR18" s="1745">
        <v>0</v>
      </c>
      <c r="BS18" s="1745">
        <v>0</v>
      </c>
      <c r="BT18" s="1745">
        <v>0</v>
      </c>
      <c r="BU18" s="1745">
        <v>0</v>
      </c>
      <c r="BV18" s="1745">
        <v>0</v>
      </c>
      <c r="BW18" s="1745">
        <v>0</v>
      </c>
      <c r="BX18" s="1745">
        <v>0</v>
      </c>
      <c r="BY18" s="1745">
        <v>0</v>
      </c>
      <c r="BZ18" s="1745">
        <v>0</v>
      </c>
      <c r="CA18" s="1745">
        <v>0</v>
      </c>
      <c r="CB18" s="1745">
        <v>0</v>
      </c>
      <c r="CC18" s="1745">
        <v>0</v>
      </c>
      <c r="CD18" s="1745">
        <v>0</v>
      </c>
      <c r="CE18" s="1745">
        <v>0</v>
      </c>
      <c r="CF18" s="1745">
        <v>0</v>
      </c>
      <c r="CG18" s="1745">
        <v>0</v>
      </c>
      <c r="CH18" s="1745">
        <v>0</v>
      </c>
      <c r="CI18" s="1745">
        <v>0</v>
      </c>
    </row>
    <row r="19" spans="1:87" s="66" customFormat="1" ht="15" customHeight="1" thickBot="1" x14ac:dyDescent="0.25">
      <c r="A19" s="1941"/>
      <c r="B19" s="1199" t="s">
        <v>1780</v>
      </c>
      <c r="C19" s="1561" t="s">
        <v>2431</v>
      </c>
      <c r="D19" s="1200" t="s">
        <v>60</v>
      </c>
      <c r="E19" s="1201" t="s">
        <v>61</v>
      </c>
      <c r="F19" s="704">
        <v>0</v>
      </c>
      <c r="G19" s="1153"/>
      <c r="H19" s="1745">
        <v>0</v>
      </c>
      <c r="I19" s="1745">
        <v>0</v>
      </c>
      <c r="J19" s="1745">
        <v>0</v>
      </c>
      <c r="K19" s="1745">
        <v>0</v>
      </c>
      <c r="L19" s="1745">
        <v>0</v>
      </c>
      <c r="M19" s="1745">
        <v>0</v>
      </c>
      <c r="N19" s="1745">
        <v>0</v>
      </c>
      <c r="O19" s="1745">
        <v>0</v>
      </c>
      <c r="P19" s="1745">
        <v>0</v>
      </c>
      <c r="Q19" s="1745">
        <v>0</v>
      </c>
      <c r="R19" s="1745">
        <v>0</v>
      </c>
      <c r="S19" s="1745">
        <v>0</v>
      </c>
      <c r="T19" s="1745">
        <v>0</v>
      </c>
      <c r="U19" s="1745">
        <v>0</v>
      </c>
      <c r="V19" s="1745">
        <v>0</v>
      </c>
      <c r="W19" s="1745">
        <v>0</v>
      </c>
      <c r="X19" s="1745">
        <v>0</v>
      </c>
      <c r="Y19" s="1745">
        <v>0</v>
      </c>
      <c r="Z19" s="1745">
        <v>0</v>
      </c>
      <c r="AA19" s="1745">
        <v>0</v>
      </c>
      <c r="AB19" s="1745">
        <v>0</v>
      </c>
      <c r="AC19" s="1745">
        <v>0</v>
      </c>
      <c r="AD19" s="1745">
        <v>0</v>
      </c>
      <c r="AE19" s="1745">
        <v>0</v>
      </c>
      <c r="AF19" s="1745">
        <v>0</v>
      </c>
      <c r="AG19" s="1745">
        <v>0</v>
      </c>
      <c r="AH19" s="1745">
        <v>0</v>
      </c>
      <c r="AI19" s="1745">
        <v>0</v>
      </c>
      <c r="AJ19" s="1745">
        <v>0</v>
      </c>
      <c r="AK19" s="1745">
        <v>0</v>
      </c>
      <c r="AL19" s="1745">
        <v>0</v>
      </c>
      <c r="AM19" s="1745">
        <v>0</v>
      </c>
      <c r="AN19" s="1745">
        <v>0</v>
      </c>
      <c r="AO19" s="1745">
        <v>0</v>
      </c>
      <c r="AP19" s="1745">
        <v>0</v>
      </c>
      <c r="AQ19" s="1745">
        <v>0</v>
      </c>
      <c r="AR19" s="1745">
        <v>0</v>
      </c>
      <c r="AS19" s="1745">
        <v>0</v>
      </c>
      <c r="AT19" s="1745">
        <v>0</v>
      </c>
      <c r="AU19" s="1745">
        <v>0</v>
      </c>
      <c r="AV19" s="1745">
        <v>0</v>
      </c>
      <c r="AW19" s="1745">
        <v>0</v>
      </c>
      <c r="AX19" s="1745">
        <v>0</v>
      </c>
      <c r="AY19" s="1745">
        <v>0</v>
      </c>
      <c r="AZ19" s="1745">
        <v>0</v>
      </c>
      <c r="BA19" s="1745">
        <v>0</v>
      </c>
      <c r="BB19" s="1745">
        <v>0</v>
      </c>
      <c r="BC19" s="1745">
        <v>0</v>
      </c>
      <c r="BD19" s="1745">
        <v>0</v>
      </c>
      <c r="BE19" s="1745">
        <v>0</v>
      </c>
      <c r="BF19" s="1745">
        <v>0</v>
      </c>
      <c r="BG19" s="1745">
        <v>0</v>
      </c>
      <c r="BH19" s="1745">
        <v>0</v>
      </c>
      <c r="BI19" s="1745">
        <v>0</v>
      </c>
      <c r="BJ19" s="1745">
        <v>0</v>
      </c>
      <c r="BK19" s="1745">
        <v>0</v>
      </c>
      <c r="BL19" s="1745">
        <v>0</v>
      </c>
      <c r="BM19" s="1745">
        <v>0</v>
      </c>
      <c r="BN19" s="1745">
        <v>0</v>
      </c>
      <c r="BO19" s="1745">
        <v>0</v>
      </c>
      <c r="BP19" s="1745">
        <v>0</v>
      </c>
      <c r="BQ19" s="1745">
        <v>0</v>
      </c>
      <c r="BR19" s="1745">
        <v>0</v>
      </c>
      <c r="BS19" s="1745">
        <v>0</v>
      </c>
      <c r="BT19" s="1745">
        <v>0</v>
      </c>
      <c r="BU19" s="1745">
        <v>0</v>
      </c>
      <c r="BV19" s="1745">
        <v>0</v>
      </c>
      <c r="BW19" s="1745">
        <v>0</v>
      </c>
      <c r="BX19" s="1745">
        <v>0</v>
      </c>
      <c r="BY19" s="1745">
        <v>0</v>
      </c>
      <c r="BZ19" s="1745">
        <v>0</v>
      </c>
      <c r="CA19" s="1745">
        <v>0</v>
      </c>
      <c r="CB19" s="1745">
        <v>0</v>
      </c>
      <c r="CC19" s="1745">
        <v>0</v>
      </c>
      <c r="CD19" s="1745">
        <v>0</v>
      </c>
      <c r="CE19" s="1745">
        <v>0</v>
      </c>
      <c r="CF19" s="1745">
        <v>0</v>
      </c>
      <c r="CG19" s="1745">
        <v>0</v>
      </c>
      <c r="CH19" s="1745">
        <v>0</v>
      </c>
      <c r="CI19" s="1745">
        <v>0</v>
      </c>
    </row>
    <row r="20" spans="1:87" s="66" customFormat="1" ht="18" customHeight="1" thickBot="1" x14ac:dyDescent="0.25">
      <c r="A20" s="1941"/>
      <c r="B20" s="1920" t="s">
        <v>440</v>
      </c>
      <c r="C20" s="1920"/>
      <c r="D20" s="1920"/>
      <c r="E20" s="1921"/>
      <c r="F20" s="1150"/>
      <c r="G20" s="1154"/>
      <c r="H20" s="1756"/>
      <c r="I20" s="1756"/>
      <c r="J20" s="1756"/>
      <c r="K20" s="1756"/>
      <c r="L20" s="1756"/>
      <c r="M20" s="1756"/>
      <c r="N20" s="1756"/>
      <c r="O20" s="1756"/>
      <c r="P20" s="1756"/>
      <c r="Q20" s="1756"/>
      <c r="R20" s="1756"/>
      <c r="S20" s="1756"/>
      <c r="T20" s="1756"/>
      <c r="U20" s="1756"/>
      <c r="V20" s="1756"/>
      <c r="W20" s="1756"/>
      <c r="X20" s="1756"/>
      <c r="Y20" s="1756"/>
      <c r="Z20" s="1756"/>
      <c r="AA20" s="1756"/>
      <c r="AB20" s="1756"/>
      <c r="AC20" s="1756"/>
      <c r="AD20" s="1756"/>
      <c r="AE20" s="1756"/>
      <c r="AF20" s="1756"/>
      <c r="AG20" s="1756"/>
      <c r="AH20" s="1756"/>
      <c r="AI20" s="1756"/>
      <c r="AJ20" s="1756"/>
      <c r="AK20" s="1756"/>
      <c r="AL20" s="1756"/>
      <c r="AM20" s="1756"/>
      <c r="AN20" s="1756"/>
      <c r="AO20" s="1756"/>
      <c r="AP20" s="1756"/>
      <c r="AQ20" s="1756"/>
      <c r="AR20" s="1756"/>
      <c r="AS20" s="1756"/>
      <c r="AT20" s="1756"/>
      <c r="AU20" s="1756"/>
      <c r="AV20" s="1756"/>
      <c r="AW20" s="1756"/>
      <c r="AX20" s="1756"/>
      <c r="AY20" s="1756"/>
      <c r="AZ20" s="1756"/>
      <c r="BA20" s="1756"/>
      <c r="BB20" s="1756"/>
      <c r="BC20" s="1756"/>
      <c r="BD20" s="1756"/>
      <c r="BE20" s="1756"/>
      <c r="BF20" s="1756"/>
      <c r="BG20" s="1756"/>
      <c r="BH20" s="1756"/>
      <c r="BI20" s="1756"/>
      <c r="BJ20" s="1756"/>
      <c r="BK20" s="1756"/>
      <c r="BL20" s="1756"/>
      <c r="BM20" s="1756"/>
      <c r="BN20" s="1756"/>
      <c r="BO20" s="1756"/>
      <c r="BP20" s="1756"/>
      <c r="BQ20" s="1756"/>
      <c r="BR20" s="1756"/>
      <c r="BS20" s="1756"/>
      <c r="BT20" s="1756"/>
      <c r="BU20" s="1756"/>
      <c r="BV20" s="1756"/>
      <c r="BW20" s="1756"/>
      <c r="BX20" s="1756"/>
      <c r="BY20" s="1756"/>
      <c r="BZ20" s="1756"/>
      <c r="CA20" s="1756"/>
      <c r="CB20" s="1756"/>
      <c r="CC20" s="1756"/>
      <c r="CD20" s="1756"/>
      <c r="CE20" s="1756"/>
      <c r="CF20" s="1756"/>
      <c r="CG20" s="1756"/>
      <c r="CH20" s="1756"/>
      <c r="CI20" s="1756"/>
    </row>
    <row r="21" spans="1:87" s="66" customFormat="1" ht="24" customHeight="1" thickBot="1" x14ac:dyDescent="0.25">
      <c r="A21" s="1941"/>
      <c r="B21" s="1199" t="s">
        <v>164</v>
      </c>
      <c r="C21" s="1200" t="s">
        <v>1785</v>
      </c>
      <c r="D21" s="1200" t="s">
        <v>72</v>
      </c>
      <c r="E21" s="1201" t="s">
        <v>1786</v>
      </c>
      <c r="F21" s="704">
        <v>0</v>
      </c>
      <c r="G21" s="1153"/>
      <c r="H21" s="1745">
        <v>0</v>
      </c>
      <c r="I21" s="1745">
        <v>0</v>
      </c>
      <c r="J21" s="1745">
        <v>0</v>
      </c>
      <c r="K21" s="1745">
        <v>0</v>
      </c>
      <c r="L21" s="1745">
        <v>0</v>
      </c>
      <c r="M21" s="1745">
        <v>0</v>
      </c>
      <c r="N21" s="1745">
        <v>0</v>
      </c>
      <c r="O21" s="1745">
        <v>0</v>
      </c>
      <c r="P21" s="1745">
        <v>0</v>
      </c>
      <c r="Q21" s="1745">
        <v>0</v>
      </c>
      <c r="R21" s="1745">
        <v>0</v>
      </c>
      <c r="S21" s="1745">
        <v>0</v>
      </c>
      <c r="T21" s="1745">
        <v>0</v>
      </c>
      <c r="U21" s="1745">
        <v>0</v>
      </c>
      <c r="V21" s="1745">
        <v>0</v>
      </c>
      <c r="W21" s="1745">
        <v>0</v>
      </c>
      <c r="X21" s="1745">
        <v>0</v>
      </c>
      <c r="Y21" s="1745">
        <v>0</v>
      </c>
      <c r="Z21" s="1745">
        <v>0</v>
      </c>
      <c r="AA21" s="1745">
        <v>0</v>
      </c>
      <c r="AB21" s="1745">
        <v>0</v>
      </c>
      <c r="AC21" s="1745">
        <v>0</v>
      </c>
      <c r="AD21" s="1745">
        <v>0</v>
      </c>
      <c r="AE21" s="1745">
        <v>0</v>
      </c>
      <c r="AF21" s="1745">
        <v>0</v>
      </c>
      <c r="AG21" s="1745">
        <v>0</v>
      </c>
      <c r="AH21" s="1745">
        <v>0</v>
      </c>
      <c r="AI21" s="1745">
        <v>0</v>
      </c>
      <c r="AJ21" s="1745">
        <v>0</v>
      </c>
      <c r="AK21" s="1745">
        <v>0</v>
      </c>
      <c r="AL21" s="1745">
        <v>0</v>
      </c>
      <c r="AM21" s="1745">
        <v>0</v>
      </c>
      <c r="AN21" s="1745">
        <v>0</v>
      </c>
      <c r="AO21" s="1745">
        <v>0</v>
      </c>
      <c r="AP21" s="1745">
        <v>0</v>
      </c>
      <c r="AQ21" s="1745">
        <v>0</v>
      </c>
      <c r="AR21" s="1745">
        <v>0</v>
      </c>
      <c r="AS21" s="1745">
        <v>0</v>
      </c>
      <c r="AT21" s="1745">
        <v>0</v>
      </c>
      <c r="AU21" s="1745">
        <v>0</v>
      </c>
      <c r="AV21" s="1745">
        <v>0</v>
      </c>
      <c r="AW21" s="1745">
        <v>0</v>
      </c>
      <c r="AX21" s="1745">
        <v>0</v>
      </c>
      <c r="AY21" s="1745">
        <v>0</v>
      </c>
      <c r="AZ21" s="1745">
        <v>0</v>
      </c>
      <c r="BA21" s="1745">
        <v>0</v>
      </c>
      <c r="BB21" s="1745">
        <v>0</v>
      </c>
      <c r="BC21" s="1745">
        <v>0</v>
      </c>
      <c r="BD21" s="1745">
        <v>0</v>
      </c>
      <c r="BE21" s="1745">
        <v>0</v>
      </c>
      <c r="BF21" s="1745">
        <v>0</v>
      </c>
      <c r="BG21" s="1745">
        <v>0</v>
      </c>
      <c r="BH21" s="1745">
        <v>0</v>
      </c>
      <c r="BI21" s="1745">
        <v>0</v>
      </c>
      <c r="BJ21" s="1745">
        <v>0</v>
      </c>
      <c r="BK21" s="1745">
        <v>0</v>
      </c>
      <c r="BL21" s="1745">
        <v>0</v>
      </c>
      <c r="BM21" s="1745">
        <v>0</v>
      </c>
      <c r="BN21" s="1745">
        <v>0</v>
      </c>
      <c r="BO21" s="1745">
        <v>0</v>
      </c>
      <c r="BP21" s="1745">
        <v>0</v>
      </c>
      <c r="BQ21" s="1745">
        <v>0</v>
      </c>
      <c r="BR21" s="1745">
        <v>0</v>
      </c>
      <c r="BS21" s="1745">
        <v>0</v>
      </c>
      <c r="BT21" s="1745">
        <v>0</v>
      </c>
      <c r="BU21" s="1745">
        <v>0</v>
      </c>
      <c r="BV21" s="1745">
        <v>0</v>
      </c>
      <c r="BW21" s="1745">
        <v>0</v>
      </c>
      <c r="BX21" s="1745">
        <v>0</v>
      </c>
      <c r="BY21" s="1745">
        <v>0</v>
      </c>
      <c r="BZ21" s="1745">
        <v>0</v>
      </c>
      <c r="CA21" s="1745">
        <v>0</v>
      </c>
      <c r="CB21" s="1745">
        <v>0</v>
      </c>
      <c r="CC21" s="1745">
        <v>0</v>
      </c>
      <c r="CD21" s="1745">
        <v>0</v>
      </c>
      <c r="CE21" s="1745">
        <v>0</v>
      </c>
      <c r="CF21" s="1745">
        <v>0</v>
      </c>
      <c r="CG21" s="1745">
        <v>0</v>
      </c>
      <c r="CH21" s="1745">
        <v>0</v>
      </c>
      <c r="CI21" s="1745">
        <v>0</v>
      </c>
    </row>
    <row r="22" spans="1:87" s="66" customFormat="1" ht="15" customHeight="1" thickBot="1" x14ac:dyDescent="0.25">
      <c r="A22" s="1941"/>
      <c r="B22" s="1202" t="s">
        <v>1781</v>
      </c>
      <c r="C22" s="1178" t="s">
        <v>1782</v>
      </c>
      <c r="D22" s="1178" t="s">
        <v>1783</v>
      </c>
      <c r="E22" s="1179" t="s">
        <v>1784</v>
      </c>
      <c r="F22" s="704">
        <v>0</v>
      </c>
      <c r="G22" s="1142"/>
      <c r="H22" s="1745">
        <v>0</v>
      </c>
      <c r="I22" s="1745">
        <v>0</v>
      </c>
      <c r="J22" s="1745">
        <v>0</v>
      </c>
      <c r="K22" s="1745">
        <v>0</v>
      </c>
      <c r="L22" s="1745">
        <v>0</v>
      </c>
      <c r="M22" s="1745">
        <v>0</v>
      </c>
      <c r="N22" s="1745">
        <v>0</v>
      </c>
      <c r="O22" s="1745">
        <v>0</v>
      </c>
      <c r="P22" s="1745">
        <v>0</v>
      </c>
      <c r="Q22" s="1745">
        <v>0</v>
      </c>
      <c r="R22" s="1745">
        <v>0</v>
      </c>
      <c r="S22" s="1745">
        <v>0</v>
      </c>
      <c r="T22" s="1745">
        <v>0</v>
      </c>
      <c r="U22" s="1745">
        <v>0</v>
      </c>
      <c r="V22" s="1745">
        <v>0</v>
      </c>
      <c r="W22" s="1745">
        <v>0</v>
      </c>
      <c r="X22" s="1745">
        <v>0</v>
      </c>
      <c r="Y22" s="1745">
        <v>0</v>
      </c>
      <c r="Z22" s="1745">
        <v>0</v>
      </c>
      <c r="AA22" s="1745">
        <v>0</v>
      </c>
      <c r="AB22" s="1745">
        <v>0</v>
      </c>
      <c r="AC22" s="1745">
        <v>0</v>
      </c>
      <c r="AD22" s="1745">
        <v>0</v>
      </c>
      <c r="AE22" s="1745">
        <v>0</v>
      </c>
      <c r="AF22" s="1745">
        <v>0</v>
      </c>
      <c r="AG22" s="1745">
        <v>0</v>
      </c>
      <c r="AH22" s="1745">
        <v>0</v>
      </c>
      <c r="AI22" s="1745">
        <v>0</v>
      </c>
      <c r="AJ22" s="1745">
        <v>0</v>
      </c>
      <c r="AK22" s="1745">
        <v>0</v>
      </c>
      <c r="AL22" s="1745">
        <v>0</v>
      </c>
      <c r="AM22" s="1745">
        <v>0</v>
      </c>
      <c r="AN22" s="1745">
        <v>0</v>
      </c>
      <c r="AO22" s="1745">
        <v>0</v>
      </c>
      <c r="AP22" s="1745">
        <v>0</v>
      </c>
      <c r="AQ22" s="1745">
        <v>0</v>
      </c>
      <c r="AR22" s="1745">
        <v>0</v>
      </c>
      <c r="AS22" s="1745">
        <v>0</v>
      </c>
      <c r="AT22" s="1745">
        <v>0</v>
      </c>
      <c r="AU22" s="1745">
        <v>0</v>
      </c>
      <c r="AV22" s="1745">
        <v>0</v>
      </c>
      <c r="AW22" s="1745">
        <v>0</v>
      </c>
      <c r="AX22" s="1745">
        <v>0</v>
      </c>
      <c r="AY22" s="1745">
        <v>0</v>
      </c>
      <c r="AZ22" s="1745">
        <v>0</v>
      </c>
      <c r="BA22" s="1745">
        <v>0</v>
      </c>
      <c r="BB22" s="1745">
        <v>0</v>
      </c>
      <c r="BC22" s="1745">
        <v>0</v>
      </c>
      <c r="BD22" s="1745">
        <v>0</v>
      </c>
      <c r="BE22" s="1745">
        <v>0</v>
      </c>
      <c r="BF22" s="1745">
        <v>0</v>
      </c>
      <c r="BG22" s="1745">
        <v>0</v>
      </c>
      <c r="BH22" s="1745">
        <v>0</v>
      </c>
      <c r="BI22" s="1745">
        <v>0</v>
      </c>
      <c r="BJ22" s="1745">
        <v>0</v>
      </c>
      <c r="BK22" s="1745">
        <v>0</v>
      </c>
      <c r="BL22" s="1745">
        <v>0</v>
      </c>
      <c r="BM22" s="1745">
        <v>0</v>
      </c>
      <c r="BN22" s="1745">
        <v>0</v>
      </c>
      <c r="BO22" s="1745">
        <v>0</v>
      </c>
      <c r="BP22" s="1745">
        <v>0</v>
      </c>
      <c r="BQ22" s="1745">
        <v>0</v>
      </c>
      <c r="BR22" s="1745">
        <v>0</v>
      </c>
      <c r="BS22" s="1745">
        <v>0</v>
      </c>
      <c r="BT22" s="1745">
        <v>0</v>
      </c>
      <c r="BU22" s="1745">
        <v>0</v>
      </c>
      <c r="BV22" s="1745">
        <v>0</v>
      </c>
      <c r="BW22" s="1745">
        <v>0</v>
      </c>
      <c r="BX22" s="1745">
        <v>0</v>
      </c>
      <c r="BY22" s="1745">
        <v>0</v>
      </c>
      <c r="BZ22" s="1745">
        <v>0</v>
      </c>
      <c r="CA22" s="1745">
        <v>0</v>
      </c>
      <c r="CB22" s="1745">
        <v>0</v>
      </c>
      <c r="CC22" s="1745">
        <v>0</v>
      </c>
      <c r="CD22" s="1745">
        <v>0</v>
      </c>
      <c r="CE22" s="1745">
        <v>0</v>
      </c>
      <c r="CF22" s="1745">
        <v>0</v>
      </c>
      <c r="CG22" s="1745">
        <v>0</v>
      </c>
      <c r="CH22" s="1745">
        <v>0</v>
      </c>
      <c r="CI22" s="1745">
        <v>0</v>
      </c>
    </row>
    <row r="23" spans="1:87" s="66" customFormat="1" ht="21" customHeight="1" thickBot="1" x14ac:dyDescent="0.25">
      <c r="A23" s="1941"/>
      <c r="B23" s="1970" t="s">
        <v>1320</v>
      </c>
      <c r="C23" s="1970"/>
      <c r="D23" s="1970"/>
      <c r="E23" s="1971"/>
      <c r="F23" s="1152">
        <f>SUM(F18:F22)</f>
        <v>0</v>
      </c>
      <c r="G23" s="1151"/>
      <c r="H23" s="1797">
        <f t="shared" ref="H23:Q23" si="0">SUM(H18:H22)</f>
        <v>0</v>
      </c>
      <c r="I23" s="1797">
        <f t="shared" si="0"/>
        <v>0</v>
      </c>
      <c r="J23" s="1797">
        <f t="shared" si="0"/>
        <v>0</v>
      </c>
      <c r="K23" s="1797">
        <f t="shared" si="0"/>
        <v>0</v>
      </c>
      <c r="L23" s="1797">
        <f t="shared" si="0"/>
        <v>0</v>
      </c>
      <c r="M23" s="1797">
        <f t="shared" si="0"/>
        <v>0</v>
      </c>
      <c r="N23" s="1797">
        <f t="shared" si="0"/>
        <v>0</v>
      </c>
      <c r="O23" s="1797">
        <f t="shared" si="0"/>
        <v>0</v>
      </c>
      <c r="P23" s="1797">
        <f t="shared" si="0"/>
        <v>0</v>
      </c>
      <c r="Q23" s="1797">
        <f t="shared" si="0"/>
        <v>0</v>
      </c>
      <c r="R23" s="1797">
        <f t="shared" ref="R23:CC23" si="1">SUM(R18:R22)</f>
        <v>0</v>
      </c>
      <c r="S23" s="1797">
        <f t="shared" si="1"/>
        <v>0</v>
      </c>
      <c r="T23" s="1797">
        <f t="shared" si="1"/>
        <v>0</v>
      </c>
      <c r="U23" s="1797">
        <f t="shared" si="1"/>
        <v>0</v>
      </c>
      <c r="V23" s="1797">
        <f t="shared" si="1"/>
        <v>0</v>
      </c>
      <c r="W23" s="1797">
        <f t="shared" si="1"/>
        <v>0</v>
      </c>
      <c r="X23" s="1797">
        <f t="shared" si="1"/>
        <v>0</v>
      </c>
      <c r="Y23" s="1797">
        <f t="shared" si="1"/>
        <v>0</v>
      </c>
      <c r="Z23" s="1797">
        <f t="shared" si="1"/>
        <v>0</v>
      </c>
      <c r="AA23" s="1797">
        <f t="shared" si="1"/>
        <v>0</v>
      </c>
      <c r="AB23" s="1797">
        <f t="shared" si="1"/>
        <v>0</v>
      </c>
      <c r="AC23" s="1797">
        <f t="shared" si="1"/>
        <v>0</v>
      </c>
      <c r="AD23" s="1797">
        <f t="shared" si="1"/>
        <v>0</v>
      </c>
      <c r="AE23" s="1797">
        <f t="shared" si="1"/>
        <v>0</v>
      </c>
      <c r="AF23" s="1797">
        <f t="shared" si="1"/>
        <v>0</v>
      </c>
      <c r="AG23" s="1797">
        <f t="shared" si="1"/>
        <v>0</v>
      </c>
      <c r="AH23" s="1797">
        <f t="shared" si="1"/>
        <v>0</v>
      </c>
      <c r="AI23" s="1797">
        <f t="shared" si="1"/>
        <v>0</v>
      </c>
      <c r="AJ23" s="1797">
        <f t="shared" si="1"/>
        <v>0</v>
      </c>
      <c r="AK23" s="1797">
        <f t="shared" si="1"/>
        <v>0</v>
      </c>
      <c r="AL23" s="1797">
        <f t="shared" si="1"/>
        <v>0</v>
      </c>
      <c r="AM23" s="1797">
        <f t="shared" si="1"/>
        <v>0</v>
      </c>
      <c r="AN23" s="1797">
        <f t="shared" si="1"/>
        <v>0</v>
      </c>
      <c r="AO23" s="1797">
        <f t="shared" si="1"/>
        <v>0</v>
      </c>
      <c r="AP23" s="1797">
        <f t="shared" si="1"/>
        <v>0</v>
      </c>
      <c r="AQ23" s="1797">
        <f t="shared" si="1"/>
        <v>0</v>
      </c>
      <c r="AR23" s="1797">
        <f t="shared" si="1"/>
        <v>0</v>
      </c>
      <c r="AS23" s="1797">
        <f t="shared" si="1"/>
        <v>0</v>
      </c>
      <c r="AT23" s="1797">
        <f t="shared" si="1"/>
        <v>0</v>
      </c>
      <c r="AU23" s="1797">
        <f t="shared" si="1"/>
        <v>0</v>
      </c>
      <c r="AV23" s="1797">
        <f t="shared" si="1"/>
        <v>0</v>
      </c>
      <c r="AW23" s="1797">
        <f t="shared" si="1"/>
        <v>0</v>
      </c>
      <c r="AX23" s="1797">
        <f t="shared" si="1"/>
        <v>0</v>
      </c>
      <c r="AY23" s="1797">
        <f t="shared" si="1"/>
        <v>0</v>
      </c>
      <c r="AZ23" s="1797">
        <f t="shared" si="1"/>
        <v>0</v>
      </c>
      <c r="BA23" s="1797">
        <f t="shared" si="1"/>
        <v>0</v>
      </c>
      <c r="BB23" s="1797">
        <f t="shared" si="1"/>
        <v>0</v>
      </c>
      <c r="BC23" s="1797">
        <f t="shared" si="1"/>
        <v>0</v>
      </c>
      <c r="BD23" s="1797">
        <f t="shared" si="1"/>
        <v>0</v>
      </c>
      <c r="BE23" s="1797">
        <f t="shared" si="1"/>
        <v>0</v>
      </c>
      <c r="BF23" s="1797">
        <f t="shared" si="1"/>
        <v>0</v>
      </c>
      <c r="BG23" s="1797">
        <f t="shared" si="1"/>
        <v>0</v>
      </c>
      <c r="BH23" s="1797">
        <f t="shared" si="1"/>
        <v>0</v>
      </c>
      <c r="BI23" s="1797">
        <f t="shared" si="1"/>
        <v>0</v>
      </c>
      <c r="BJ23" s="1797">
        <f t="shared" si="1"/>
        <v>0</v>
      </c>
      <c r="BK23" s="1797">
        <f t="shared" si="1"/>
        <v>0</v>
      </c>
      <c r="BL23" s="1797">
        <f t="shared" si="1"/>
        <v>0</v>
      </c>
      <c r="BM23" s="1797">
        <f t="shared" si="1"/>
        <v>0</v>
      </c>
      <c r="BN23" s="1797">
        <f t="shared" si="1"/>
        <v>0</v>
      </c>
      <c r="BO23" s="1797">
        <f t="shared" si="1"/>
        <v>0</v>
      </c>
      <c r="BP23" s="1797">
        <f t="shared" si="1"/>
        <v>0</v>
      </c>
      <c r="BQ23" s="1797">
        <f t="shared" si="1"/>
        <v>0</v>
      </c>
      <c r="BR23" s="1797">
        <f t="shared" si="1"/>
        <v>0</v>
      </c>
      <c r="BS23" s="1797">
        <f t="shared" si="1"/>
        <v>0</v>
      </c>
      <c r="BT23" s="1797">
        <f t="shared" si="1"/>
        <v>0</v>
      </c>
      <c r="BU23" s="1797">
        <f t="shared" si="1"/>
        <v>0</v>
      </c>
      <c r="BV23" s="1797">
        <f t="shared" si="1"/>
        <v>0</v>
      </c>
      <c r="BW23" s="1797">
        <f t="shared" si="1"/>
        <v>0</v>
      </c>
      <c r="BX23" s="1797">
        <f t="shared" si="1"/>
        <v>0</v>
      </c>
      <c r="BY23" s="1797">
        <f t="shared" si="1"/>
        <v>0</v>
      </c>
      <c r="BZ23" s="1797">
        <f t="shared" si="1"/>
        <v>0</v>
      </c>
      <c r="CA23" s="1797">
        <f t="shared" si="1"/>
        <v>0</v>
      </c>
      <c r="CB23" s="1797">
        <f t="shared" si="1"/>
        <v>0</v>
      </c>
      <c r="CC23" s="1797">
        <f t="shared" si="1"/>
        <v>0</v>
      </c>
      <c r="CD23" s="1797">
        <f t="shared" ref="CD23:CI23" si="2">SUM(CD18:CD22)</f>
        <v>0</v>
      </c>
      <c r="CE23" s="1797">
        <f t="shared" si="2"/>
        <v>0</v>
      </c>
      <c r="CF23" s="1797">
        <f t="shared" si="2"/>
        <v>0</v>
      </c>
      <c r="CG23" s="1797">
        <f t="shared" si="2"/>
        <v>0</v>
      </c>
      <c r="CH23" s="1797">
        <f t="shared" si="2"/>
        <v>0</v>
      </c>
      <c r="CI23" s="1798">
        <f t="shared" si="2"/>
        <v>0</v>
      </c>
    </row>
    <row r="24" spans="1:87" s="66" customFormat="1" ht="21" customHeight="1" thickBot="1" x14ac:dyDescent="0.25">
      <c r="A24" s="1941"/>
      <c r="B24" s="1918"/>
      <c r="C24" s="1919"/>
      <c r="D24" s="1919"/>
      <c r="E24" s="1203" t="s">
        <v>469</v>
      </c>
      <c r="F24" s="976">
        <f>F23/12</f>
        <v>0</v>
      </c>
      <c r="G24" s="702"/>
      <c r="H24" s="1750">
        <f t="shared" ref="H24:Q24" si="3">H23/12</f>
        <v>0</v>
      </c>
      <c r="I24" s="1750">
        <f t="shared" si="3"/>
        <v>0</v>
      </c>
      <c r="J24" s="1750">
        <f t="shared" si="3"/>
        <v>0</v>
      </c>
      <c r="K24" s="1750">
        <f t="shared" si="3"/>
        <v>0</v>
      </c>
      <c r="L24" s="1750">
        <f t="shared" si="3"/>
        <v>0</v>
      </c>
      <c r="M24" s="1750">
        <f t="shared" si="3"/>
        <v>0</v>
      </c>
      <c r="N24" s="1750">
        <f t="shared" si="3"/>
        <v>0</v>
      </c>
      <c r="O24" s="1750">
        <f t="shared" si="3"/>
        <v>0</v>
      </c>
      <c r="P24" s="1750">
        <f t="shared" si="3"/>
        <v>0</v>
      </c>
      <c r="Q24" s="1750">
        <f t="shared" si="3"/>
        <v>0</v>
      </c>
      <c r="R24" s="1750">
        <f t="shared" ref="R24:CC24" si="4">R23/12</f>
        <v>0</v>
      </c>
      <c r="S24" s="1750">
        <f t="shared" si="4"/>
        <v>0</v>
      </c>
      <c r="T24" s="1750">
        <f t="shared" si="4"/>
        <v>0</v>
      </c>
      <c r="U24" s="1750">
        <f t="shared" si="4"/>
        <v>0</v>
      </c>
      <c r="V24" s="1750">
        <f t="shared" si="4"/>
        <v>0</v>
      </c>
      <c r="W24" s="1750">
        <f t="shared" si="4"/>
        <v>0</v>
      </c>
      <c r="X24" s="1750">
        <f t="shared" si="4"/>
        <v>0</v>
      </c>
      <c r="Y24" s="1750">
        <f t="shared" si="4"/>
        <v>0</v>
      </c>
      <c r="Z24" s="1750">
        <f t="shared" si="4"/>
        <v>0</v>
      </c>
      <c r="AA24" s="1750">
        <f t="shared" si="4"/>
        <v>0</v>
      </c>
      <c r="AB24" s="1750">
        <f t="shared" si="4"/>
        <v>0</v>
      </c>
      <c r="AC24" s="1750">
        <f t="shared" si="4"/>
        <v>0</v>
      </c>
      <c r="AD24" s="1750">
        <f t="shared" si="4"/>
        <v>0</v>
      </c>
      <c r="AE24" s="1750">
        <f t="shared" si="4"/>
        <v>0</v>
      </c>
      <c r="AF24" s="1750">
        <f t="shared" si="4"/>
        <v>0</v>
      </c>
      <c r="AG24" s="1750">
        <f t="shared" si="4"/>
        <v>0</v>
      </c>
      <c r="AH24" s="1750">
        <f t="shared" si="4"/>
        <v>0</v>
      </c>
      <c r="AI24" s="1750">
        <f t="shared" si="4"/>
        <v>0</v>
      </c>
      <c r="AJ24" s="1750">
        <f t="shared" si="4"/>
        <v>0</v>
      </c>
      <c r="AK24" s="1750">
        <f t="shared" si="4"/>
        <v>0</v>
      </c>
      <c r="AL24" s="1750">
        <f t="shared" si="4"/>
        <v>0</v>
      </c>
      <c r="AM24" s="1750">
        <f t="shared" si="4"/>
        <v>0</v>
      </c>
      <c r="AN24" s="1750">
        <f t="shared" si="4"/>
        <v>0</v>
      </c>
      <c r="AO24" s="1750">
        <f t="shared" si="4"/>
        <v>0</v>
      </c>
      <c r="AP24" s="1750">
        <f t="shared" si="4"/>
        <v>0</v>
      </c>
      <c r="AQ24" s="1750">
        <f t="shared" si="4"/>
        <v>0</v>
      </c>
      <c r="AR24" s="1750">
        <f t="shared" si="4"/>
        <v>0</v>
      </c>
      <c r="AS24" s="1750">
        <f t="shared" si="4"/>
        <v>0</v>
      </c>
      <c r="AT24" s="1750">
        <f t="shared" si="4"/>
        <v>0</v>
      </c>
      <c r="AU24" s="1750">
        <f t="shared" si="4"/>
        <v>0</v>
      </c>
      <c r="AV24" s="1750">
        <f t="shared" si="4"/>
        <v>0</v>
      </c>
      <c r="AW24" s="1750">
        <f t="shared" si="4"/>
        <v>0</v>
      </c>
      <c r="AX24" s="1750">
        <f t="shared" si="4"/>
        <v>0</v>
      </c>
      <c r="AY24" s="1750">
        <f t="shared" si="4"/>
        <v>0</v>
      </c>
      <c r="AZ24" s="1750">
        <f t="shared" si="4"/>
        <v>0</v>
      </c>
      <c r="BA24" s="1750">
        <f t="shared" si="4"/>
        <v>0</v>
      </c>
      <c r="BB24" s="1750">
        <f t="shared" si="4"/>
        <v>0</v>
      </c>
      <c r="BC24" s="1750">
        <f t="shared" si="4"/>
        <v>0</v>
      </c>
      <c r="BD24" s="1750">
        <f t="shared" si="4"/>
        <v>0</v>
      </c>
      <c r="BE24" s="1750">
        <f t="shared" si="4"/>
        <v>0</v>
      </c>
      <c r="BF24" s="1750">
        <f t="shared" si="4"/>
        <v>0</v>
      </c>
      <c r="BG24" s="1750">
        <f t="shared" si="4"/>
        <v>0</v>
      </c>
      <c r="BH24" s="1750">
        <f t="shared" si="4"/>
        <v>0</v>
      </c>
      <c r="BI24" s="1750">
        <f t="shared" si="4"/>
        <v>0</v>
      </c>
      <c r="BJ24" s="1750">
        <f t="shared" si="4"/>
        <v>0</v>
      </c>
      <c r="BK24" s="1750">
        <f t="shared" si="4"/>
        <v>0</v>
      </c>
      <c r="BL24" s="1750">
        <f t="shared" si="4"/>
        <v>0</v>
      </c>
      <c r="BM24" s="1750">
        <f t="shared" si="4"/>
        <v>0</v>
      </c>
      <c r="BN24" s="1750">
        <f t="shared" si="4"/>
        <v>0</v>
      </c>
      <c r="BO24" s="1750">
        <f t="shared" si="4"/>
        <v>0</v>
      </c>
      <c r="BP24" s="1750">
        <f t="shared" si="4"/>
        <v>0</v>
      </c>
      <c r="BQ24" s="1750">
        <f t="shared" si="4"/>
        <v>0</v>
      </c>
      <c r="BR24" s="1750">
        <f t="shared" si="4"/>
        <v>0</v>
      </c>
      <c r="BS24" s="1750">
        <f t="shared" si="4"/>
        <v>0</v>
      </c>
      <c r="BT24" s="1750">
        <f t="shared" si="4"/>
        <v>0</v>
      </c>
      <c r="BU24" s="1750">
        <f t="shared" si="4"/>
        <v>0</v>
      </c>
      <c r="BV24" s="1750">
        <f t="shared" si="4"/>
        <v>0</v>
      </c>
      <c r="BW24" s="1750">
        <f t="shared" si="4"/>
        <v>0</v>
      </c>
      <c r="BX24" s="1750">
        <f t="shared" si="4"/>
        <v>0</v>
      </c>
      <c r="BY24" s="1750">
        <f t="shared" si="4"/>
        <v>0</v>
      </c>
      <c r="BZ24" s="1750">
        <f t="shared" si="4"/>
        <v>0</v>
      </c>
      <c r="CA24" s="1750">
        <f t="shared" si="4"/>
        <v>0</v>
      </c>
      <c r="CB24" s="1750">
        <f t="shared" si="4"/>
        <v>0</v>
      </c>
      <c r="CC24" s="1750">
        <f t="shared" si="4"/>
        <v>0</v>
      </c>
      <c r="CD24" s="1750">
        <f t="shared" ref="CD24:CI24" si="5">CD23/12</f>
        <v>0</v>
      </c>
      <c r="CE24" s="1750">
        <f t="shared" si="5"/>
        <v>0</v>
      </c>
      <c r="CF24" s="1750">
        <f t="shared" si="5"/>
        <v>0</v>
      </c>
      <c r="CG24" s="1750">
        <f t="shared" si="5"/>
        <v>0</v>
      </c>
      <c r="CH24" s="1750">
        <f t="shared" si="5"/>
        <v>0</v>
      </c>
      <c r="CI24" s="1750">
        <f t="shared" si="5"/>
        <v>0</v>
      </c>
    </row>
    <row r="25" spans="1:87" s="66" customFormat="1" ht="21" customHeight="1" thickBot="1" x14ac:dyDescent="0.25">
      <c r="A25" s="1940" t="s">
        <v>1711</v>
      </c>
      <c r="B25" s="1954" t="s">
        <v>460</v>
      </c>
      <c r="C25" s="1958"/>
      <c r="D25" s="1958"/>
      <c r="E25" s="1959"/>
      <c r="F25" s="1143"/>
      <c r="G25" s="1930"/>
      <c r="H25" s="1753"/>
      <c r="I25" s="1753"/>
      <c r="J25" s="1753"/>
      <c r="K25" s="1753"/>
      <c r="L25" s="1753"/>
      <c r="M25" s="1753"/>
      <c r="N25" s="1753"/>
      <c r="O25" s="1753"/>
      <c r="P25" s="1753"/>
      <c r="Q25" s="1753"/>
      <c r="R25" s="1753"/>
      <c r="S25" s="1753"/>
      <c r="T25" s="1753"/>
      <c r="U25" s="1753"/>
      <c r="V25" s="1753"/>
      <c r="W25" s="1753"/>
      <c r="X25" s="1753"/>
      <c r="Y25" s="1753"/>
      <c r="Z25" s="1753"/>
      <c r="AA25" s="1753"/>
      <c r="AB25" s="1753"/>
      <c r="AC25" s="1753"/>
      <c r="AD25" s="1753"/>
      <c r="AE25" s="1753"/>
      <c r="AF25" s="1753"/>
      <c r="AG25" s="1753"/>
      <c r="AH25" s="1753"/>
      <c r="AI25" s="1753"/>
      <c r="AJ25" s="1753"/>
      <c r="AK25" s="1753"/>
      <c r="AL25" s="1753"/>
      <c r="AM25" s="1753"/>
      <c r="AN25" s="1753"/>
      <c r="AO25" s="1753"/>
      <c r="AP25" s="1753"/>
      <c r="AQ25" s="1753"/>
      <c r="AR25" s="1753"/>
      <c r="AS25" s="1753"/>
      <c r="AT25" s="1753"/>
      <c r="AU25" s="1753"/>
      <c r="AV25" s="1753"/>
      <c r="AW25" s="1753"/>
      <c r="AX25" s="1753"/>
      <c r="AY25" s="1753"/>
      <c r="AZ25" s="1753"/>
      <c r="BA25" s="1753"/>
      <c r="BB25" s="1753"/>
      <c r="BC25" s="1753"/>
      <c r="BD25" s="1753"/>
      <c r="BE25" s="1753"/>
      <c r="BF25" s="1753"/>
      <c r="BG25" s="1753"/>
      <c r="BH25" s="1753"/>
      <c r="BI25" s="1753"/>
      <c r="BJ25" s="1753"/>
      <c r="BK25" s="1753"/>
      <c r="BL25" s="1753"/>
      <c r="BM25" s="1753"/>
      <c r="BN25" s="1753"/>
      <c r="BO25" s="1753"/>
      <c r="BP25" s="1753"/>
      <c r="BQ25" s="1753"/>
      <c r="BR25" s="1753"/>
      <c r="BS25" s="1753"/>
      <c r="BT25" s="1753"/>
      <c r="BU25" s="1753"/>
      <c r="BV25" s="1753"/>
      <c r="BW25" s="1753"/>
      <c r="BX25" s="1753"/>
      <c r="BY25" s="1753"/>
      <c r="BZ25" s="1753"/>
      <c r="CA25" s="1753"/>
      <c r="CB25" s="1753"/>
      <c r="CC25" s="1753"/>
      <c r="CD25" s="1753"/>
      <c r="CE25" s="1753"/>
      <c r="CF25" s="1753"/>
      <c r="CG25" s="1753"/>
      <c r="CH25" s="1753"/>
      <c r="CI25" s="1753"/>
    </row>
    <row r="26" spans="1:87" s="66" customFormat="1" ht="21" customHeight="1" thickBot="1" x14ac:dyDescent="0.25">
      <c r="A26" s="1941"/>
      <c r="B26" s="1927" t="s">
        <v>2453</v>
      </c>
      <c r="C26" s="1928"/>
      <c r="D26" s="1928"/>
      <c r="E26" s="1929"/>
      <c r="F26" s="1144"/>
      <c r="G26" s="1931"/>
      <c r="H26" s="1754"/>
      <c r="I26" s="1754"/>
      <c r="J26" s="1754"/>
      <c r="K26" s="1754"/>
      <c r="L26" s="1754"/>
      <c r="M26" s="1754"/>
      <c r="N26" s="1754"/>
      <c r="O26" s="1754"/>
      <c r="P26" s="1754"/>
      <c r="Q26" s="1754"/>
      <c r="R26" s="1754"/>
      <c r="S26" s="1754"/>
      <c r="T26" s="1754"/>
      <c r="U26" s="1754"/>
      <c r="V26" s="1754"/>
      <c r="W26" s="1754"/>
      <c r="X26" s="1754"/>
      <c r="Y26" s="1754"/>
      <c r="Z26" s="1754"/>
      <c r="AA26" s="1754"/>
      <c r="AB26" s="1754"/>
      <c r="AC26" s="1754"/>
      <c r="AD26" s="1754"/>
      <c r="AE26" s="1754"/>
      <c r="AF26" s="1754"/>
      <c r="AG26" s="1754"/>
      <c r="AH26" s="1754"/>
      <c r="AI26" s="1754"/>
      <c r="AJ26" s="1754"/>
      <c r="AK26" s="1754"/>
      <c r="AL26" s="1754"/>
      <c r="AM26" s="1754"/>
      <c r="AN26" s="1754"/>
      <c r="AO26" s="1754"/>
      <c r="AP26" s="1754"/>
      <c r="AQ26" s="1754"/>
      <c r="AR26" s="1754"/>
      <c r="AS26" s="1754"/>
      <c r="AT26" s="1754"/>
      <c r="AU26" s="1754"/>
      <c r="AV26" s="1754"/>
      <c r="AW26" s="1754"/>
      <c r="AX26" s="1754"/>
      <c r="AY26" s="1754"/>
      <c r="AZ26" s="1754"/>
      <c r="BA26" s="1754"/>
      <c r="BB26" s="1754"/>
      <c r="BC26" s="1754"/>
      <c r="BD26" s="1754"/>
      <c r="BE26" s="1754"/>
      <c r="BF26" s="1754"/>
      <c r="BG26" s="1754"/>
      <c r="BH26" s="1754"/>
      <c r="BI26" s="1754"/>
      <c r="BJ26" s="1754"/>
      <c r="BK26" s="1754"/>
      <c r="BL26" s="1754"/>
      <c r="BM26" s="1754"/>
      <c r="BN26" s="1754"/>
      <c r="BO26" s="1754"/>
      <c r="BP26" s="1754"/>
      <c r="BQ26" s="1754"/>
      <c r="BR26" s="1754"/>
      <c r="BS26" s="1754"/>
      <c r="BT26" s="1754"/>
      <c r="BU26" s="1754"/>
      <c r="BV26" s="1754"/>
      <c r="BW26" s="1754"/>
      <c r="BX26" s="1754"/>
      <c r="BY26" s="1754"/>
      <c r="BZ26" s="1754"/>
      <c r="CA26" s="1754"/>
      <c r="CB26" s="1754"/>
      <c r="CC26" s="1754"/>
      <c r="CD26" s="1754"/>
      <c r="CE26" s="1754"/>
      <c r="CF26" s="1754"/>
      <c r="CG26" s="1754"/>
      <c r="CH26" s="1754"/>
      <c r="CI26" s="1754"/>
    </row>
    <row r="27" spans="1:87" s="66" customFormat="1" ht="15" customHeight="1" thickBot="1" x14ac:dyDescent="0.25">
      <c r="A27" s="1941"/>
      <c r="B27" s="1916" t="s">
        <v>1727</v>
      </c>
      <c r="C27" s="1917"/>
      <c r="D27" s="1917"/>
      <c r="E27" s="1926"/>
      <c r="F27" s="1145"/>
      <c r="G27" s="1931"/>
      <c r="H27" s="1791"/>
      <c r="I27" s="1791"/>
      <c r="J27" s="1791"/>
      <c r="K27" s="1791"/>
      <c r="L27" s="1791"/>
      <c r="M27" s="1791"/>
      <c r="N27" s="1791"/>
      <c r="O27" s="1791"/>
      <c r="P27" s="1791"/>
      <c r="Q27" s="1791"/>
      <c r="R27" s="1791"/>
      <c r="S27" s="1791"/>
      <c r="T27" s="1791"/>
      <c r="U27" s="1791"/>
      <c r="V27" s="1791"/>
      <c r="W27" s="1791"/>
      <c r="X27" s="1791"/>
      <c r="Y27" s="1791"/>
      <c r="Z27" s="1791"/>
      <c r="AA27" s="1791"/>
      <c r="AB27" s="1791"/>
      <c r="AC27" s="1791"/>
      <c r="AD27" s="1791"/>
      <c r="AE27" s="1791"/>
      <c r="AF27" s="1791"/>
      <c r="AG27" s="1791"/>
      <c r="AH27" s="1791"/>
      <c r="AI27" s="1791"/>
      <c r="AJ27" s="1791"/>
      <c r="AK27" s="1791"/>
      <c r="AL27" s="1791"/>
      <c r="AM27" s="1791"/>
      <c r="AN27" s="1791"/>
      <c r="AO27" s="1791"/>
      <c r="AP27" s="1791"/>
      <c r="AQ27" s="1791"/>
      <c r="AR27" s="1791"/>
      <c r="AS27" s="1791"/>
      <c r="AT27" s="1791"/>
      <c r="AU27" s="1791"/>
      <c r="AV27" s="1791"/>
      <c r="AW27" s="1791"/>
      <c r="AX27" s="1791"/>
      <c r="AY27" s="1791"/>
      <c r="AZ27" s="1791"/>
      <c r="BA27" s="1791"/>
      <c r="BB27" s="1791"/>
      <c r="BC27" s="1791"/>
      <c r="BD27" s="1791"/>
      <c r="BE27" s="1791"/>
      <c r="BF27" s="1791"/>
      <c r="BG27" s="1791"/>
      <c r="BH27" s="1791"/>
      <c r="BI27" s="1791"/>
      <c r="BJ27" s="1791"/>
      <c r="BK27" s="1791"/>
      <c r="BL27" s="1791"/>
      <c r="BM27" s="1791"/>
      <c r="BN27" s="1791"/>
      <c r="BO27" s="1791"/>
      <c r="BP27" s="1791"/>
      <c r="BQ27" s="1791"/>
      <c r="BR27" s="1791"/>
      <c r="BS27" s="1791"/>
      <c r="BT27" s="1791"/>
      <c r="BU27" s="1791"/>
      <c r="BV27" s="1791"/>
      <c r="BW27" s="1791"/>
      <c r="BX27" s="1791"/>
      <c r="BY27" s="1791"/>
      <c r="BZ27" s="1791"/>
      <c r="CA27" s="1791"/>
      <c r="CB27" s="1791"/>
      <c r="CC27" s="1791"/>
      <c r="CD27" s="1791"/>
      <c r="CE27" s="1791"/>
      <c r="CF27" s="1791"/>
      <c r="CG27" s="1791"/>
      <c r="CH27" s="1791"/>
      <c r="CI27" s="1791"/>
    </row>
    <row r="28" spans="1:87" s="66" customFormat="1" ht="15" customHeight="1" thickBot="1" x14ac:dyDescent="0.25">
      <c r="A28" s="1941"/>
      <c r="B28" s="1916" t="s">
        <v>1728</v>
      </c>
      <c r="C28" s="1917"/>
      <c r="D28" s="1917"/>
      <c r="E28" s="1926"/>
      <c r="F28" s="1145"/>
      <c r="G28" s="1931"/>
      <c r="H28" s="1791"/>
      <c r="I28" s="1791"/>
      <c r="J28" s="1791"/>
      <c r="K28" s="1791"/>
      <c r="L28" s="1791"/>
      <c r="M28" s="1791"/>
      <c r="N28" s="1791"/>
      <c r="O28" s="1791"/>
      <c r="P28" s="1791"/>
      <c r="Q28" s="1791"/>
      <c r="R28" s="1791"/>
      <c r="S28" s="1791"/>
      <c r="T28" s="1791"/>
      <c r="U28" s="1791"/>
      <c r="V28" s="1791"/>
      <c r="W28" s="1791"/>
      <c r="X28" s="1791"/>
      <c r="Y28" s="1791"/>
      <c r="Z28" s="1791"/>
      <c r="AA28" s="1791"/>
      <c r="AB28" s="1791"/>
      <c r="AC28" s="1791"/>
      <c r="AD28" s="1791"/>
      <c r="AE28" s="1791"/>
      <c r="AF28" s="1791"/>
      <c r="AG28" s="1791"/>
      <c r="AH28" s="1791"/>
      <c r="AI28" s="1791"/>
      <c r="AJ28" s="1791"/>
      <c r="AK28" s="1791"/>
      <c r="AL28" s="1791"/>
      <c r="AM28" s="1791"/>
      <c r="AN28" s="1791"/>
      <c r="AO28" s="1791"/>
      <c r="AP28" s="1791"/>
      <c r="AQ28" s="1791"/>
      <c r="AR28" s="1791"/>
      <c r="AS28" s="1791"/>
      <c r="AT28" s="1791"/>
      <c r="AU28" s="1791"/>
      <c r="AV28" s="1791"/>
      <c r="AW28" s="1791"/>
      <c r="AX28" s="1791"/>
      <c r="AY28" s="1791"/>
      <c r="AZ28" s="1791"/>
      <c r="BA28" s="1791"/>
      <c r="BB28" s="1791"/>
      <c r="BC28" s="1791"/>
      <c r="BD28" s="1791"/>
      <c r="BE28" s="1791"/>
      <c r="BF28" s="1791"/>
      <c r="BG28" s="1791"/>
      <c r="BH28" s="1791"/>
      <c r="BI28" s="1791"/>
      <c r="BJ28" s="1791"/>
      <c r="BK28" s="1791"/>
      <c r="BL28" s="1791"/>
      <c r="BM28" s="1791"/>
      <c r="BN28" s="1791"/>
      <c r="BO28" s="1791"/>
      <c r="BP28" s="1791"/>
      <c r="BQ28" s="1791"/>
      <c r="BR28" s="1791"/>
      <c r="BS28" s="1791"/>
      <c r="BT28" s="1791"/>
      <c r="BU28" s="1791"/>
      <c r="BV28" s="1791"/>
      <c r="BW28" s="1791"/>
      <c r="BX28" s="1791"/>
      <c r="BY28" s="1791"/>
      <c r="BZ28" s="1791"/>
      <c r="CA28" s="1791"/>
      <c r="CB28" s="1791"/>
      <c r="CC28" s="1791"/>
      <c r="CD28" s="1791"/>
      <c r="CE28" s="1791"/>
      <c r="CF28" s="1791"/>
      <c r="CG28" s="1791"/>
      <c r="CH28" s="1791"/>
      <c r="CI28" s="1791"/>
    </row>
    <row r="29" spans="1:87" s="66" customFormat="1" ht="15" customHeight="1" thickBot="1" x14ac:dyDescent="0.25">
      <c r="A29" s="1941"/>
      <c r="B29" s="1916" t="s">
        <v>1729</v>
      </c>
      <c r="C29" s="1917"/>
      <c r="D29" s="1917"/>
      <c r="E29" s="1926"/>
      <c r="F29" s="1145"/>
      <c r="G29" s="1931"/>
      <c r="H29" s="1791"/>
      <c r="I29" s="1791"/>
      <c r="J29" s="1791"/>
      <c r="K29" s="1791"/>
      <c r="L29" s="1791"/>
      <c r="M29" s="1791"/>
      <c r="N29" s="1791"/>
      <c r="O29" s="1791"/>
      <c r="P29" s="1791"/>
      <c r="Q29" s="1791"/>
      <c r="R29" s="1791"/>
      <c r="S29" s="1791"/>
      <c r="T29" s="1791"/>
      <c r="U29" s="1791"/>
      <c r="V29" s="1791"/>
      <c r="W29" s="1791"/>
      <c r="X29" s="1791"/>
      <c r="Y29" s="1791"/>
      <c r="Z29" s="1791"/>
      <c r="AA29" s="1791"/>
      <c r="AB29" s="1791"/>
      <c r="AC29" s="1791"/>
      <c r="AD29" s="1791"/>
      <c r="AE29" s="1791"/>
      <c r="AF29" s="1791"/>
      <c r="AG29" s="1791"/>
      <c r="AH29" s="1791"/>
      <c r="AI29" s="1791"/>
      <c r="AJ29" s="1791"/>
      <c r="AK29" s="1791"/>
      <c r="AL29" s="1791"/>
      <c r="AM29" s="1791"/>
      <c r="AN29" s="1791"/>
      <c r="AO29" s="1791"/>
      <c r="AP29" s="1791"/>
      <c r="AQ29" s="1791"/>
      <c r="AR29" s="1791"/>
      <c r="AS29" s="1791"/>
      <c r="AT29" s="1791"/>
      <c r="AU29" s="1791"/>
      <c r="AV29" s="1791"/>
      <c r="AW29" s="1791"/>
      <c r="AX29" s="1791"/>
      <c r="AY29" s="1791"/>
      <c r="AZ29" s="1791"/>
      <c r="BA29" s="1791"/>
      <c r="BB29" s="1791"/>
      <c r="BC29" s="1791"/>
      <c r="BD29" s="1791"/>
      <c r="BE29" s="1791"/>
      <c r="BF29" s="1791"/>
      <c r="BG29" s="1791"/>
      <c r="BH29" s="1791"/>
      <c r="BI29" s="1791"/>
      <c r="BJ29" s="1791"/>
      <c r="BK29" s="1791"/>
      <c r="BL29" s="1791"/>
      <c r="BM29" s="1791"/>
      <c r="BN29" s="1791"/>
      <c r="BO29" s="1791"/>
      <c r="BP29" s="1791"/>
      <c r="BQ29" s="1791"/>
      <c r="BR29" s="1791"/>
      <c r="BS29" s="1791"/>
      <c r="BT29" s="1791"/>
      <c r="BU29" s="1791"/>
      <c r="BV29" s="1791"/>
      <c r="BW29" s="1791"/>
      <c r="BX29" s="1791"/>
      <c r="BY29" s="1791"/>
      <c r="BZ29" s="1791"/>
      <c r="CA29" s="1791"/>
      <c r="CB29" s="1791"/>
      <c r="CC29" s="1791"/>
      <c r="CD29" s="1791"/>
      <c r="CE29" s="1791"/>
      <c r="CF29" s="1791"/>
      <c r="CG29" s="1791"/>
      <c r="CH29" s="1791"/>
      <c r="CI29" s="1791"/>
    </row>
    <row r="30" spans="1:87" s="66" customFormat="1" ht="15" customHeight="1" thickBot="1" x14ac:dyDescent="0.25">
      <c r="A30" s="1941"/>
      <c r="B30" s="1916" t="s">
        <v>1730</v>
      </c>
      <c r="C30" s="1917"/>
      <c r="D30" s="1917"/>
      <c r="E30" s="1926"/>
      <c r="F30" s="1145"/>
      <c r="G30" s="1931"/>
      <c r="H30" s="1791"/>
      <c r="I30" s="1791"/>
      <c r="J30" s="1791"/>
      <c r="K30" s="1791"/>
      <c r="L30" s="1791"/>
      <c r="M30" s="1791"/>
      <c r="N30" s="1791"/>
      <c r="O30" s="1791"/>
      <c r="P30" s="1791"/>
      <c r="Q30" s="1791"/>
      <c r="R30" s="1791"/>
      <c r="S30" s="1791"/>
      <c r="T30" s="1791"/>
      <c r="U30" s="1791"/>
      <c r="V30" s="1791"/>
      <c r="W30" s="1791"/>
      <c r="X30" s="1791"/>
      <c r="Y30" s="1791"/>
      <c r="Z30" s="1791"/>
      <c r="AA30" s="1791"/>
      <c r="AB30" s="1791"/>
      <c r="AC30" s="1791"/>
      <c r="AD30" s="1791"/>
      <c r="AE30" s="1791"/>
      <c r="AF30" s="1791"/>
      <c r="AG30" s="1791"/>
      <c r="AH30" s="1791"/>
      <c r="AI30" s="1791"/>
      <c r="AJ30" s="1791"/>
      <c r="AK30" s="1791"/>
      <c r="AL30" s="1791"/>
      <c r="AM30" s="1791"/>
      <c r="AN30" s="1791"/>
      <c r="AO30" s="1791"/>
      <c r="AP30" s="1791"/>
      <c r="AQ30" s="1791"/>
      <c r="AR30" s="1791"/>
      <c r="AS30" s="1791"/>
      <c r="AT30" s="1791"/>
      <c r="AU30" s="1791"/>
      <c r="AV30" s="1791"/>
      <c r="AW30" s="1791"/>
      <c r="AX30" s="1791"/>
      <c r="AY30" s="1791"/>
      <c r="AZ30" s="1791"/>
      <c r="BA30" s="1791"/>
      <c r="BB30" s="1791"/>
      <c r="BC30" s="1791"/>
      <c r="BD30" s="1791"/>
      <c r="BE30" s="1791"/>
      <c r="BF30" s="1791"/>
      <c r="BG30" s="1791"/>
      <c r="BH30" s="1791"/>
      <c r="BI30" s="1791"/>
      <c r="BJ30" s="1791"/>
      <c r="BK30" s="1791"/>
      <c r="BL30" s="1791"/>
      <c r="BM30" s="1791"/>
      <c r="BN30" s="1791"/>
      <c r="BO30" s="1791"/>
      <c r="BP30" s="1791"/>
      <c r="BQ30" s="1791"/>
      <c r="BR30" s="1791"/>
      <c r="BS30" s="1791"/>
      <c r="BT30" s="1791"/>
      <c r="BU30" s="1791"/>
      <c r="BV30" s="1791"/>
      <c r="BW30" s="1791"/>
      <c r="BX30" s="1791"/>
      <c r="BY30" s="1791"/>
      <c r="BZ30" s="1791"/>
      <c r="CA30" s="1791"/>
      <c r="CB30" s="1791"/>
      <c r="CC30" s="1791"/>
      <c r="CD30" s="1791"/>
      <c r="CE30" s="1791"/>
      <c r="CF30" s="1791"/>
      <c r="CG30" s="1791"/>
      <c r="CH30" s="1791"/>
      <c r="CI30" s="1791"/>
    </row>
    <row r="31" spans="1:87" s="66" customFormat="1" ht="15" customHeight="1" thickBot="1" x14ac:dyDescent="0.25">
      <c r="A31" s="1941"/>
      <c r="B31" s="1964" t="s">
        <v>590</v>
      </c>
      <c r="C31" s="1965"/>
      <c r="D31" s="1965"/>
      <c r="E31" s="1966"/>
      <c r="F31" s="1145"/>
      <c r="G31" s="1931"/>
      <c r="H31" s="1791"/>
      <c r="I31" s="1791"/>
      <c r="J31" s="1791"/>
      <c r="K31" s="1791"/>
      <c r="L31" s="1791"/>
      <c r="M31" s="1791"/>
      <c r="N31" s="1791"/>
      <c r="O31" s="1791"/>
      <c r="P31" s="1791"/>
      <c r="Q31" s="1791"/>
      <c r="R31" s="1791"/>
      <c r="S31" s="1791"/>
      <c r="T31" s="1791"/>
      <c r="U31" s="1791"/>
      <c r="V31" s="1791"/>
      <c r="W31" s="1791"/>
      <c r="X31" s="1791"/>
      <c r="Y31" s="1791"/>
      <c r="Z31" s="1791"/>
      <c r="AA31" s="1791"/>
      <c r="AB31" s="1791"/>
      <c r="AC31" s="1791"/>
      <c r="AD31" s="1791"/>
      <c r="AE31" s="1791"/>
      <c r="AF31" s="1791"/>
      <c r="AG31" s="1791"/>
      <c r="AH31" s="1791"/>
      <c r="AI31" s="1791"/>
      <c r="AJ31" s="1791"/>
      <c r="AK31" s="1791"/>
      <c r="AL31" s="1791"/>
      <c r="AM31" s="1791"/>
      <c r="AN31" s="1791"/>
      <c r="AO31" s="1791"/>
      <c r="AP31" s="1791"/>
      <c r="AQ31" s="1791"/>
      <c r="AR31" s="1791"/>
      <c r="AS31" s="1791"/>
      <c r="AT31" s="1791"/>
      <c r="AU31" s="1791"/>
      <c r="AV31" s="1791"/>
      <c r="AW31" s="1791"/>
      <c r="AX31" s="1791"/>
      <c r="AY31" s="1791"/>
      <c r="AZ31" s="1791"/>
      <c r="BA31" s="1791"/>
      <c r="BB31" s="1791"/>
      <c r="BC31" s="1791"/>
      <c r="BD31" s="1791"/>
      <c r="BE31" s="1791"/>
      <c r="BF31" s="1791"/>
      <c r="BG31" s="1791"/>
      <c r="BH31" s="1791"/>
      <c r="BI31" s="1791"/>
      <c r="BJ31" s="1791"/>
      <c r="BK31" s="1791"/>
      <c r="BL31" s="1791"/>
      <c r="BM31" s="1791"/>
      <c r="BN31" s="1791"/>
      <c r="BO31" s="1791"/>
      <c r="BP31" s="1791"/>
      <c r="BQ31" s="1791"/>
      <c r="BR31" s="1791"/>
      <c r="BS31" s="1791"/>
      <c r="BT31" s="1791"/>
      <c r="BU31" s="1791"/>
      <c r="BV31" s="1791"/>
      <c r="BW31" s="1791"/>
      <c r="BX31" s="1791"/>
      <c r="BY31" s="1791"/>
      <c r="BZ31" s="1791"/>
      <c r="CA31" s="1791"/>
      <c r="CB31" s="1791"/>
      <c r="CC31" s="1791"/>
      <c r="CD31" s="1791"/>
      <c r="CE31" s="1791"/>
      <c r="CF31" s="1791"/>
      <c r="CG31" s="1791"/>
      <c r="CH31" s="1791"/>
      <c r="CI31" s="1791"/>
    </row>
    <row r="32" spans="1:87" s="66" customFormat="1" ht="15" customHeight="1" thickBot="1" x14ac:dyDescent="0.25">
      <c r="A32" s="1941"/>
      <c r="B32" s="1916" t="s">
        <v>589</v>
      </c>
      <c r="C32" s="1917"/>
      <c r="D32" s="1917"/>
      <c r="E32" s="1926"/>
      <c r="F32" s="1145"/>
      <c r="G32" s="1931"/>
      <c r="H32" s="1791"/>
      <c r="I32" s="1791"/>
      <c r="J32" s="1791"/>
      <c r="K32" s="1791"/>
      <c r="L32" s="1791"/>
      <c r="M32" s="1791"/>
      <c r="N32" s="1791"/>
      <c r="O32" s="1791"/>
      <c r="P32" s="1791"/>
      <c r="Q32" s="1791"/>
      <c r="R32" s="1791"/>
      <c r="S32" s="1791"/>
      <c r="T32" s="1791"/>
      <c r="U32" s="1791"/>
      <c r="V32" s="1791"/>
      <c r="W32" s="1791"/>
      <c r="X32" s="1791"/>
      <c r="Y32" s="1791"/>
      <c r="Z32" s="1791"/>
      <c r="AA32" s="1791"/>
      <c r="AB32" s="1791"/>
      <c r="AC32" s="1791"/>
      <c r="AD32" s="1791"/>
      <c r="AE32" s="1791"/>
      <c r="AF32" s="1791"/>
      <c r="AG32" s="1791"/>
      <c r="AH32" s="1791"/>
      <c r="AI32" s="1791"/>
      <c r="AJ32" s="1791"/>
      <c r="AK32" s="1791"/>
      <c r="AL32" s="1791"/>
      <c r="AM32" s="1791"/>
      <c r="AN32" s="1791"/>
      <c r="AO32" s="1791"/>
      <c r="AP32" s="1791"/>
      <c r="AQ32" s="1791"/>
      <c r="AR32" s="1791"/>
      <c r="AS32" s="1791"/>
      <c r="AT32" s="1791"/>
      <c r="AU32" s="1791"/>
      <c r="AV32" s="1791"/>
      <c r="AW32" s="1791"/>
      <c r="AX32" s="1791"/>
      <c r="AY32" s="1791"/>
      <c r="AZ32" s="1791"/>
      <c r="BA32" s="1791"/>
      <c r="BB32" s="1791"/>
      <c r="BC32" s="1791"/>
      <c r="BD32" s="1791"/>
      <c r="BE32" s="1791"/>
      <c r="BF32" s="1791"/>
      <c r="BG32" s="1791"/>
      <c r="BH32" s="1791"/>
      <c r="BI32" s="1791"/>
      <c r="BJ32" s="1791"/>
      <c r="BK32" s="1791"/>
      <c r="BL32" s="1791"/>
      <c r="BM32" s="1791"/>
      <c r="BN32" s="1791"/>
      <c r="BO32" s="1791"/>
      <c r="BP32" s="1791"/>
      <c r="BQ32" s="1791"/>
      <c r="BR32" s="1791"/>
      <c r="BS32" s="1791"/>
      <c r="BT32" s="1791"/>
      <c r="BU32" s="1791"/>
      <c r="BV32" s="1791"/>
      <c r="BW32" s="1791"/>
      <c r="BX32" s="1791"/>
      <c r="BY32" s="1791"/>
      <c r="BZ32" s="1791"/>
      <c r="CA32" s="1791"/>
      <c r="CB32" s="1791"/>
      <c r="CC32" s="1791"/>
      <c r="CD32" s="1791"/>
      <c r="CE32" s="1791"/>
      <c r="CF32" s="1791"/>
      <c r="CG32" s="1791"/>
      <c r="CH32" s="1791"/>
      <c r="CI32" s="1791"/>
    </row>
    <row r="33" spans="1:87" s="66" customFormat="1" ht="30" customHeight="1" thickBot="1" x14ac:dyDescent="0.25">
      <c r="A33" s="1941"/>
      <c r="B33" s="1927" t="s">
        <v>1321</v>
      </c>
      <c r="C33" s="1928"/>
      <c r="D33" s="1928"/>
      <c r="E33" s="1929"/>
      <c r="F33" s="1146"/>
      <c r="G33" s="1930"/>
      <c r="H33" s="1755"/>
      <c r="I33" s="1755"/>
      <c r="J33" s="1755"/>
      <c r="K33" s="1755"/>
      <c r="L33" s="1755"/>
      <c r="M33" s="1755"/>
      <c r="N33" s="1755"/>
      <c r="O33" s="1755"/>
      <c r="P33" s="1755"/>
      <c r="Q33" s="1755"/>
      <c r="R33" s="1755"/>
      <c r="S33" s="1755"/>
      <c r="T33" s="1755"/>
      <c r="U33" s="1755"/>
      <c r="V33" s="1755"/>
      <c r="W33" s="1755"/>
      <c r="X33" s="1755"/>
      <c r="Y33" s="1755"/>
      <c r="Z33" s="1755"/>
      <c r="AA33" s="1755"/>
      <c r="AB33" s="1755"/>
      <c r="AC33" s="1755"/>
      <c r="AD33" s="1755"/>
      <c r="AE33" s="1755"/>
      <c r="AF33" s="1755"/>
      <c r="AG33" s="1755"/>
      <c r="AH33" s="1755"/>
      <c r="AI33" s="1755"/>
      <c r="AJ33" s="1755"/>
      <c r="AK33" s="1755"/>
      <c r="AL33" s="1755"/>
      <c r="AM33" s="1755"/>
      <c r="AN33" s="1755"/>
      <c r="AO33" s="1755"/>
      <c r="AP33" s="1755"/>
      <c r="AQ33" s="1755"/>
      <c r="AR33" s="1755"/>
      <c r="AS33" s="1755"/>
      <c r="AT33" s="1755"/>
      <c r="AU33" s="1755"/>
      <c r="AV33" s="1755"/>
      <c r="AW33" s="1755"/>
      <c r="AX33" s="1755"/>
      <c r="AY33" s="1755"/>
      <c r="AZ33" s="1755"/>
      <c r="BA33" s="1755"/>
      <c r="BB33" s="1755"/>
      <c r="BC33" s="1755"/>
      <c r="BD33" s="1755"/>
      <c r="BE33" s="1755"/>
      <c r="BF33" s="1755"/>
      <c r="BG33" s="1755"/>
      <c r="BH33" s="1755"/>
      <c r="BI33" s="1755"/>
      <c r="BJ33" s="1755"/>
      <c r="BK33" s="1755"/>
      <c r="BL33" s="1755"/>
      <c r="BM33" s="1755"/>
      <c r="BN33" s="1755"/>
      <c r="BO33" s="1755"/>
      <c r="BP33" s="1755"/>
      <c r="BQ33" s="1755"/>
      <c r="BR33" s="1755"/>
      <c r="BS33" s="1755"/>
      <c r="BT33" s="1755"/>
      <c r="BU33" s="1755"/>
      <c r="BV33" s="1755"/>
      <c r="BW33" s="1755"/>
      <c r="BX33" s="1755"/>
      <c r="BY33" s="1755"/>
      <c r="BZ33" s="1755"/>
      <c r="CA33" s="1755"/>
      <c r="CB33" s="1755"/>
      <c r="CC33" s="1755"/>
      <c r="CD33" s="1755"/>
      <c r="CE33" s="1755"/>
      <c r="CF33" s="1755"/>
      <c r="CG33" s="1755"/>
      <c r="CH33" s="1755"/>
      <c r="CI33" s="1755"/>
    </row>
    <row r="34" spans="1:87" s="68" customFormat="1" ht="18" customHeight="1" thickBot="1" x14ac:dyDescent="0.25">
      <c r="A34" s="1941"/>
      <c r="B34" s="1204"/>
      <c r="C34" s="1197" t="s">
        <v>10</v>
      </c>
      <c r="D34" s="1197" t="s">
        <v>11</v>
      </c>
      <c r="E34" s="1198" t="s">
        <v>12</v>
      </c>
      <c r="F34" s="1146"/>
      <c r="G34" s="1930"/>
      <c r="H34" s="1755"/>
      <c r="I34" s="1755"/>
      <c r="J34" s="1755"/>
      <c r="K34" s="1755"/>
      <c r="L34" s="1755"/>
      <c r="M34" s="1755"/>
      <c r="N34" s="1755"/>
      <c r="O34" s="1755"/>
      <c r="P34" s="1755"/>
      <c r="Q34" s="1755"/>
      <c r="R34" s="1755"/>
      <c r="S34" s="1755"/>
      <c r="T34" s="1755"/>
      <c r="U34" s="1755"/>
      <c r="V34" s="1755"/>
      <c r="W34" s="1755"/>
      <c r="X34" s="1755"/>
      <c r="Y34" s="1755"/>
      <c r="Z34" s="1755"/>
      <c r="AA34" s="1755"/>
      <c r="AB34" s="1755"/>
      <c r="AC34" s="1755"/>
      <c r="AD34" s="1755"/>
      <c r="AE34" s="1755"/>
      <c r="AF34" s="1755"/>
      <c r="AG34" s="1755"/>
      <c r="AH34" s="1755"/>
      <c r="AI34" s="1755"/>
      <c r="AJ34" s="1755"/>
      <c r="AK34" s="1755"/>
      <c r="AL34" s="1755"/>
      <c r="AM34" s="1755"/>
      <c r="AN34" s="1755"/>
      <c r="AO34" s="1755"/>
      <c r="AP34" s="1755"/>
      <c r="AQ34" s="1755"/>
      <c r="AR34" s="1755"/>
      <c r="AS34" s="1755"/>
      <c r="AT34" s="1755"/>
      <c r="AU34" s="1755"/>
      <c r="AV34" s="1755"/>
      <c r="AW34" s="1755"/>
      <c r="AX34" s="1755"/>
      <c r="AY34" s="1755"/>
      <c r="AZ34" s="1755"/>
      <c r="BA34" s="1755"/>
      <c r="BB34" s="1755"/>
      <c r="BC34" s="1755"/>
      <c r="BD34" s="1755"/>
      <c r="BE34" s="1755"/>
      <c r="BF34" s="1755"/>
      <c r="BG34" s="1755"/>
      <c r="BH34" s="1755"/>
      <c r="BI34" s="1755"/>
      <c r="BJ34" s="1755"/>
      <c r="BK34" s="1755"/>
      <c r="BL34" s="1755"/>
      <c r="BM34" s="1755"/>
      <c r="BN34" s="1755"/>
      <c r="BO34" s="1755"/>
      <c r="BP34" s="1755"/>
      <c r="BQ34" s="1755"/>
      <c r="BR34" s="1755"/>
      <c r="BS34" s="1755"/>
      <c r="BT34" s="1755"/>
      <c r="BU34" s="1755"/>
      <c r="BV34" s="1755"/>
      <c r="BW34" s="1755"/>
      <c r="BX34" s="1755"/>
      <c r="BY34" s="1755"/>
      <c r="BZ34" s="1755"/>
      <c r="CA34" s="1755"/>
      <c r="CB34" s="1755"/>
      <c r="CC34" s="1755"/>
      <c r="CD34" s="1755"/>
      <c r="CE34" s="1755"/>
      <c r="CF34" s="1755"/>
      <c r="CG34" s="1755"/>
      <c r="CH34" s="1755"/>
      <c r="CI34" s="1755"/>
    </row>
    <row r="35" spans="1:87" s="68" customFormat="1" ht="27" customHeight="1" thickBot="1" x14ac:dyDescent="0.25">
      <c r="A35" s="1941"/>
      <c r="B35" s="1199" t="s">
        <v>39</v>
      </c>
      <c r="C35" s="1205" t="s">
        <v>585</v>
      </c>
      <c r="D35" s="1205" t="s">
        <v>586</v>
      </c>
      <c r="E35" s="1206" t="s">
        <v>587</v>
      </c>
      <c r="F35" s="1147">
        <v>0</v>
      </c>
      <c r="G35" s="1932"/>
      <c r="H35" s="1793">
        <v>0</v>
      </c>
      <c r="I35" s="1793">
        <v>0</v>
      </c>
      <c r="J35" s="1793">
        <v>0</v>
      </c>
      <c r="K35" s="1793">
        <v>0</v>
      </c>
      <c r="L35" s="1793">
        <v>0</v>
      </c>
      <c r="M35" s="1793">
        <v>0</v>
      </c>
      <c r="N35" s="1793">
        <v>0</v>
      </c>
      <c r="O35" s="1793">
        <v>0</v>
      </c>
      <c r="P35" s="1793">
        <v>0</v>
      </c>
      <c r="Q35" s="1793">
        <v>0</v>
      </c>
      <c r="R35" s="1793">
        <v>0</v>
      </c>
      <c r="S35" s="1793">
        <v>0</v>
      </c>
      <c r="T35" s="1793">
        <v>0</v>
      </c>
      <c r="U35" s="1793">
        <v>0</v>
      </c>
      <c r="V35" s="1793">
        <v>0</v>
      </c>
      <c r="W35" s="1793">
        <v>0</v>
      </c>
      <c r="X35" s="1793">
        <v>0</v>
      </c>
      <c r="Y35" s="1793">
        <v>0</v>
      </c>
      <c r="Z35" s="1793">
        <v>0</v>
      </c>
      <c r="AA35" s="1793">
        <v>0</v>
      </c>
      <c r="AB35" s="1793">
        <v>0</v>
      </c>
      <c r="AC35" s="1793">
        <v>0</v>
      </c>
      <c r="AD35" s="1793">
        <v>0</v>
      </c>
      <c r="AE35" s="1793">
        <v>0</v>
      </c>
      <c r="AF35" s="1793">
        <v>0</v>
      </c>
      <c r="AG35" s="1793">
        <v>0</v>
      </c>
      <c r="AH35" s="1793">
        <v>0</v>
      </c>
      <c r="AI35" s="1793">
        <v>0</v>
      </c>
      <c r="AJ35" s="1793">
        <v>0</v>
      </c>
      <c r="AK35" s="1793">
        <v>0</v>
      </c>
      <c r="AL35" s="1793">
        <v>0</v>
      </c>
      <c r="AM35" s="1793">
        <v>0</v>
      </c>
      <c r="AN35" s="1793">
        <v>0</v>
      </c>
      <c r="AO35" s="1793">
        <v>0</v>
      </c>
      <c r="AP35" s="1793">
        <v>0</v>
      </c>
      <c r="AQ35" s="1793">
        <v>0</v>
      </c>
      <c r="AR35" s="1793">
        <v>0</v>
      </c>
      <c r="AS35" s="1793">
        <v>0</v>
      </c>
      <c r="AT35" s="1793">
        <v>0</v>
      </c>
      <c r="AU35" s="1793">
        <v>0</v>
      </c>
      <c r="AV35" s="1793">
        <v>0</v>
      </c>
      <c r="AW35" s="1793">
        <v>0</v>
      </c>
      <c r="AX35" s="1793">
        <v>0</v>
      </c>
      <c r="AY35" s="1793">
        <v>0</v>
      </c>
      <c r="AZ35" s="1793">
        <v>0</v>
      </c>
      <c r="BA35" s="1793">
        <v>0</v>
      </c>
      <c r="BB35" s="1793">
        <v>0</v>
      </c>
      <c r="BC35" s="1793">
        <v>0</v>
      </c>
      <c r="BD35" s="1793">
        <v>0</v>
      </c>
      <c r="BE35" s="1793">
        <v>0</v>
      </c>
      <c r="BF35" s="1793">
        <v>0</v>
      </c>
      <c r="BG35" s="1793">
        <v>0</v>
      </c>
      <c r="BH35" s="1793">
        <v>0</v>
      </c>
      <c r="BI35" s="1793">
        <v>0</v>
      </c>
      <c r="BJ35" s="1793">
        <v>0</v>
      </c>
      <c r="BK35" s="1793">
        <v>0</v>
      </c>
      <c r="BL35" s="1793">
        <v>0</v>
      </c>
      <c r="BM35" s="1793">
        <v>0</v>
      </c>
      <c r="BN35" s="1793">
        <v>0</v>
      </c>
      <c r="BO35" s="1793">
        <v>0</v>
      </c>
      <c r="BP35" s="1793">
        <v>0</v>
      </c>
      <c r="BQ35" s="1793">
        <v>0</v>
      </c>
      <c r="BR35" s="1793">
        <v>0</v>
      </c>
      <c r="BS35" s="1793">
        <v>0</v>
      </c>
      <c r="BT35" s="1793">
        <v>0</v>
      </c>
      <c r="BU35" s="1793">
        <v>0</v>
      </c>
      <c r="BV35" s="1793">
        <v>0</v>
      </c>
      <c r="BW35" s="1793">
        <v>0</v>
      </c>
      <c r="BX35" s="1793">
        <v>0</v>
      </c>
      <c r="BY35" s="1793">
        <v>0</v>
      </c>
      <c r="BZ35" s="1793">
        <v>0</v>
      </c>
      <c r="CA35" s="1793">
        <v>0</v>
      </c>
      <c r="CB35" s="1793">
        <v>0</v>
      </c>
      <c r="CC35" s="1793">
        <v>0</v>
      </c>
      <c r="CD35" s="1793">
        <v>0</v>
      </c>
      <c r="CE35" s="1793">
        <v>0</v>
      </c>
      <c r="CF35" s="1793">
        <v>0</v>
      </c>
      <c r="CG35" s="1793">
        <v>0</v>
      </c>
      <c r="CH35" s="1793">
        <v>0</v>
      </c>
      <c r="CI35" s="1793">
        <v>0</v>
      </c>
    </row>
    <row r="36" spans="1:87" s="68" customFormat="1" ht="15" customHeight="1" thickBot="1" x14ac:dyDescent="0.25">
      <c r="A36" s="1941"/>
      <c r="B36" s="1199" t="s">
        <v>40</v>
      </c>
      <c r="C36" s="1200" t="s">
        <v>69</v>
      </c>
      <c r="D36" s="1200" t="s">
        <v>68</v>
      </c>
      <c r="E36" s="1201" t="s">
        <v>70</v>
      </c>
      <c r="F36" s="1147">
        <v>0</v>
      </c>
      <c r="G36" s="1932"/>
      <c r="H36" s="1793">
        <v>0</v>
      </c>
      <c r="I36" s="1793">
        <v>0</v>
      </c>
      <c r="J36" s="1793">
        <v>0</v>
      </c>
      <c r="K36" s="1793">
        <v>0</v>
      </c>
      <c r="L36" s="1793">
        <v>0</v>
      </c>
      <c r="M36" s="1793">
        <v>0</v>
      </c>
      <c r="N36" s="1793">
        <v>0</v>
      </c>
      <c r="O36" s="1793">
        <v>0</v>
      </c>
      <c r="P36" s="1793">
        <v>0</v>
      </c>
      <c r="Q36" s="1793">
        <v>0</v>
      </c>
      <c r="R36" s="1793">
        <v>0</v>
      </c>
      <c r="S36" s="1793">
        <v>0</v>
      </c>
      <c r="T36" s="1793">
        <v>0</v>
      </c>
      <c r="U36" s="1793">
        <v>0</v>
      </c>
      <c r="V36" s="1793">
        <v>0</v>
      </c>
      <c r="W36" s="1793">
        <v>0</v>
      </c>
      <c r="X36" s="1793">
        <v>0</v>
      </c>
      <c r="Y36" s="1793">
        <v>0</v>
      </c>
      <c r="Z36" s="1793">
        <v>0</v>
      </c>
      <c r="AA36" s="1793">
        <v>0</v>
      </c>
      <c r="AB36" s="1793">
        <v>0</v>
      </c>
      <c r="AC36" s="1793">
        <v>0</v>
      </c>
      <c r="AD36" s="1793">
        <v>0</v>
      </c>
      <c r="AE36" s="1793">
        <v>0</v>
      </c>
      <c r="AF36" s="1793">
        <v>0</v>
      </c>
      <c r="AG36" s="1793">
        <v>0</v>
      </c>
      <c r="AH36" s="1793">
        <v>0</v>
      </c>
      <c r="AI36" s="1793">
        <v>0</v>
      </c>
      <c r="AJ36" s="1793">
        <v>0</v>
      </c>
      <c r="AK36" s="1793">
        <v>0</v>
      </c>
      <c r="AL36" s="1793">
        <v>0</v>
      </c>
      <c r="AM36" s="1793">
        <v>0</v>
      </c>
      <c r="AN36" s="1793">
        <v>0</v>
      </c>
      <c r="AO36" s="1793">
        <v>0</v>
      </c>
      <c r="AP36" s="1793">
        <v>0</v>
      </c>
      <c r="AQ36" s="1793">
        <v>0</v>
      </c>
      <c r="AR36" s="1793">
        <v>0</v>
      </c>
      <c r="AS36" s="1793">
        <v>0</v>
      </c>
      <c r="AT36" s="1793">
        <v>0</v>
      </c>
      <c r="AU36" s="1793">
        <v>0</v>
      </c>
      <c r="AV36" s="1793">
        <v>0</v>
      </c>
      <c r="AW36" s="1793">
        <v>0</v>
      </c>
      <c r="AX36" s="1793">
        <v>0</v>
      </c>
      <c r="AY36" s="1793">
        <v>0</v>
      </c>
      <c r="AZ36" s="1793">
        <v>0</v>
      </c>
      <c r="BA36" s="1793">
        <v>0</v>
      </c>
      <c r="BB36" s="1793">
        <v>0</v>
      </c>
      <c r="BC36" s="1793">
        <v>0</v>
      </c>
      <c r="BD36" s="1793">
        <v>0</v>
      </c>
      <c r="BE36" s="1793">
        <v>0</v>
      </c>
      <c r="BF36" s="1793">
        <v>0</v>
      </c>
      <c r="BG36" s="1793">
        <v>0</v>
      </c>
      <c r="BH36" s="1793">
        <v>0</v>
      </c>
      <c r="BI36" s="1793">
        <v>0</v>
      </c>
      <c r="BJ36" s="1793">
        <v>0</v>
      </c>
      <c r="BK36" s="1793">
        <v>0</v>
      </c>
      <c r="BL36" s="1793">
        <v>0</v>
      </c>
      <c r="BM36" s="1793">
        <v>0</v>
      </c>
      <c r="BN36" s="1793">
        <v>0</v>
      </c>
      <c r="BO36" s="1793">
        <v>0</v>
      </c>
      <c r="BP36" s="1793">
        <v>0</v>
      </c>
      <c r="BQ36" s="1793">
        <v>0</v>
      </c>
      <c r="BR36" s="1793">
        <v>0</v>
      </c>
      <c r="BS36" s="1793">
        <v>0</v>
      </c>
      <c r="BT36" s="1793">
        <v>0</v>
      </c>
      <c r="BU36" s="1793">
        <v>0</v>
      </c>
      <c r="BV36" s="1793">
        <v>0</v>
      </c>
      <c r="BW36" s="1793">
        <v>0</v>
      </c>
      <c r="BX36" s="1793">
        <v>0</v>
      </c>
      <c r="BY36" s="1793">
        <v>0</v>
      </c>
      <c r="BZ36" s="1793">
        <v>0</v>
      </c>
      <c r="CA36" s="1793">
        <v>0</v>
      </c>
      <c r="CB36" s="1793">
        <v>0</v>
      </c>
      <c r="CC36" s="1793">
        <v>0</v>
      </c>
      <c r="CD36" s="1793">
        <v>0</v>
      </c>
      <c r="CE36" s="1793">
        <v>0</v>
      </c>
      <c r="CF36" s="1793">
        <v>0</v>
      </c>
      <c r="CG36" s="1793">
        <v>0</v>
      </c>
      <c r="CH36" s="1793">
        <v>0</v>
      </c>
      <c r="CI36" s="1793">
        <v>0</v>
      </c>
    </row>
    <row r="37" spans="1:87" s="68" customFormat="1" ht="15" customHeight="1" thickBot="1" x14ac:dyDescent="0.25">
      <c r="A37" s="1941"/>
      <c r="B37" s="1199" t="s">
        <v>41</v>
      </c>
      <c r="C37" s="1178" t="s">
        <v>583</v>
      </c>
      <c r="D37" s="1178" t="s">
        <v>584</v>
      </c>
      <c r="E37" s="1179" t="s">
        <v>588</v>
      </c>
      <c r="F37" s="1171">
        <v>0</v>
      </c>
      <c r="G37" s="1932"/>
      <c r="H37" s="1794">
        <v>0</v>
      </c>
      <c r="I37" s="1794">
        <v>0</v>
      </c>
      <c r="J37" s="1794">
        <v>0</v>
      </c>
      <c r="K37" s="1794">
        <v>0</v>
      </c>
      <c r="L37" s="1794">
        <v>0</v>
      </c>
      <c r="M37" s="1794">
        <v>0</v>
      </c>
      <c r="N37" s="1794">
        <v>0</v>
      </c>
      <c r="O37" s="1794">
        <v>0</v>
      </c>
      <c r="P37" s="1794">
        <v>0</v>
      </c>
      <c r="Q37" s="1794">
        <v>0</v>
      </c>
      <c r="R37" s="1794">
        <v>0</v>
      </c>
      <c r="S37" s="1794">
        <v>0</v>
      </c>
      <c r="T37" s="1794">
        <v>0</v>
      </c>
      <c r="U37" s="1794">
        <v>0</v>
      </c>
      <c r="V37" s="1794">
        <v>0</v>
      </c>
      <c r="W37" s="1794">
        <v>0</v>
      </c>
      <c r="X37" s="1794">
        <v>0</v>
      </c>
      <c r="Y37" s="1794">
        <v>0</v>
      </c>
      <c r="Z37" s="1794">
        <v>0</v>
      </c>
      <c r="AA37" s="1794">
        <v>0</v>
      </c>
      <c r="AB37" s="1794">
        <v>0</v>
      </c>
      <c r="AC37" s="1794">
        <v>0</v>
      </c>
      <c r="AD37" s="1794">
        <v>0</v>
      </c>
      <c r="AE37" s="1794">
        <v>0</v>
      </c>
      <c r="AF37" s="1794">
        <v>0</v>
      </c>
      <c r="AG37" s="1794">
        <v>0</v>
      </c>
      <c r="AH37" s="1794">
        <v>0</v>
      </c>
      <c r="AI37" s="1794">
        <v>0</v>
      </c>
      <c r="AJ37" s="1794">
        <v>0</v>
      </c>
      <c r="AK37" s="1794">
        <v>0</v>
      </c>
      <c r="AL37" s="1794">
        <v>0</v>
      </c>
      <c r="AM37" s="1794">
        <v>0</v>
      </c>
      <c r="AN37" s="1794">
        <v>0</v>
      </c>
      <c r="AO37" s="1794">
        <v>0</v>
      </c>
      <c r="AP37" s="1794">
        <v>0</v>
      </c>
      <c r="AQ37" s="1794">
        <v>0</v>
      </c>
      <c r="AR37" s="1794">
        <v>0</v>
      </c>
      <c r="AS37" s="1794">
        <v>0</v>
      </c>
      <c r="AT37" s="1794">
        <v>0</v>
      </c>
      <c r="AU37" s="1794">
        <v>0</v>
      </c>
      <c r="AV37" s="1794">
        <v>0</v>
      </c>
      <c r="AW37" s="1794">
        <v>0</v>
      </c>
      <c r="AX37" s="1794">
        <v>0</v>
      </c>
      <c r="AY37" s="1794">
        <v>0</v>
      </c>
      <c r="AZ37" s="1794">
        <v>0</v>
      </c>
      <c r="BA37" s="1794">
        <v>0</v>
      </c>
      <c r="BB37" s="1794">
        <v>0</v>
      </c>
      <c r="BC37" s="1794">
        <v>0</v>
      </c>
      <c r="BD37" s="1794">
        <v>0</v>
      </c>
      <c r="BE37" s="1794">
        <v>0</v>
      </c>
      <c r="BF37" s="1794">
        <v>0</v>
      </c>
      <c r="BG37" s="1794">
        <v>0</v>
      </c>
      <c r="BH37" s="1794">
        <v>0</v>
      </c>
      <c r="BI37" s="1794">
        <v>0</v>
      </c>
      <c r="BJ37" s="1794">
        <v>0</v>
      </c>
      <c r="BK37" s="1794">
        <v>0</v>
      </c>
      <c r="BL37" s="1794">
        <v>0</v>
      </c>
      <c r="BM37" s="1794">
        <v>0</v>
      </c>
      <c r="BN37" s="1794">
        <v>0</v>
      </c>
      <c r="BO37" s="1794">
        <v>0</v>
      </c>
      <c r="BP37" s="1794">
        <v>0</v>
      </c>
      <c r="BQ37" s="1794">
        <v>0</v>
      </c>
      <c r="BR37" s="1794">
        <v>0</v>
      </c>
      <c r="BS37" s="1794">
        <v>0</v>
      </c>
      <c r="BT37" s="1794">
        <v>0</v>
      </c>
      <c r="BU37" s="1794">
        <v>0</v>
      </c>
      <c r="BV37" s="1794">
        <v>0</v>
      </c>
      <c r="BW37" s="1794">
        <v>0</v>
      </c>
      <c r="BX37" s="1794">
        <v>0</v>
      </c>
      <c r="BY37" s="1794">
        <v>0</v>
      </c>
      <c r="BZ37" s="1794">
        <v>0</v>
      </c>
      <c r="CA37" s="1794">
        <v>0</v>
      </c>
      <c r="CB37" s="1794">
        <v>0</v>
      </c>
      <c r="CC37" s="1794">
        <v>0</v>
      </c>
      <c r="CD37" s="1794">
        <v>0</v>
      </c>
      <c r="CE37" s="1794">
        <v>0</v>
      </c>
      <c r="CF37" s="1794">
        <v>0</v>
      </c>
      <c r="CG37" s="1794">
        <v>0</v>
      </c>
      <c r="CH37" s="1794">
        <v>0</v>
      </c>
      <c r="CI37" s="1794">
        <v>0</v>
      </c>
    </row>
    <row r="38" spans="1:87" s="68" customFormat="1" ht="21" customHeight="1" thickBot="1" x14ac:dyDescent="0.25">
      <c r="A38" s="1941"/>
      <c r="B38" s="1970" t="s">
        <v>1320</v>
      </c>
      <c r="C38" s="1970"/>
      <c r="D38" s="1970"/>
      <c r="E38" s="1971"/>
      <c r="F38" s="1148">
        <f>SUM(F35:F37)</f>
        <v>0</v>
      </c>
      <c r="G38" s="1933"/>
      <c r="H38" s="1795">
        <f t="shared" ref="H38:Q38" si="6">SUM(H35:H37)</f>
        <v>0</v>
      </c>
      <c r="I38" s="1795">
        <f t="shared" si="6"/>
        <v>0</v>
      </c>
      <c r="J38" s="1795">
        <f t="shared" si="6"/>
        <v>0</v>
      </c>
      <c r="K38" s="1795">
        <f t="shared" si="6"/>
        <v>0</v>
      </c>
      <c r="L38" s="1795">
        <f t="shared" si="6"/>
        <v>0</v>
      </c>
      <c r="M38" s="1795">
        <f t="shared" si="6"/>
        <v>0</v>
      </c>
      <c r="N38" s="1795">
        <f t="shared" si="6"/>
        <v>0</v>
      </c>
      <c r="O38" s="1795">
        <f t="shared" si="6"/>
        <v>0</v>
      </c>
      <c r="P38" s="1795">
        <f t="shared" si="6"/>
        <v>0</v>
      </c>
      <c r="Q38" s="1795">
        <f t="shared" si="6"/>
        <v>0</v>
      </c>
      <c r="R38" s="1795">
        <f t="shared" ref="R38:CC38" si="7">SUM(R35:R37)</f>
        <v>0</v>
      </c>
      <c r="S38" s="1795">
        <f t="shared" si="7"/>
        <v>0</v>
      </c>
      <c r="T38" s="1795">
        <f t="shared" si="7"/>
        <v>0</v>
      </c>
      <c r="U38" s="1795">
        <f t="shared" si="7"/>
        <v>0</v>
      </c>
      <c r="V38" s="1795">
        <f t="shared" si="7"/>
        <v>0</v>
      </c>
      <c r="W38" s="1795">
        <f t="shared" si="7"/>
        <v>0</v>
      </c>
      <c r="X38" s="1795">
        <f t="shared" si="7"/>
        <v>0</v>
      </c>
      <c r="Y38" s="1795">
        <f t="shared" si="7"/>
        <v>0</v>
      </c>
      <c r="Z38" s="1795">
        <f t="shared" si="7"/>
        <v>0</v>
      </c>
      <c r="AA38" s="1795">
        <f t="shared" si="7"/>
        <v>0</v>
      </c>
      <c r="AB38" s="1795">
        <f t="shared" si="7"/>
        <v>0</v>
      </c>
      <c r="AC38" s="1795">
        <f t="shared" si="7"/>
        <v>0</v>
      </c>
      <c r="AD38" s="1795">
        <f t="shared" si="7"/>
        <v>0</v>
      </c>
      <c r="AE38" s="1795">
        <f t="shared" si="7"/>
        <v>0</v>
      </c>
      <c r="AF38" s="1795">
        <f t="shared" si="7"/>
        <v>0</v>
      </c>
      <c r="AG38" s="1795">
        <f t="shared" si="7"/>
        <v>0</v>
      </c>
      <c r="AH38" s="1795">
        <f t="shared" si="7"/>
        <v>0</v>
      </c>
      <c r="AI38" s="1795">
        <f t="shared" si="7"/>
        <v>0</v>
      </c>
      <c r="AJ38" s="1795">
        <f t="shared" si="7"/>
        <v>0</v>
      </c>
      <c r="AK38" s="1795">
        <f t="shared" si="7"/>
        <v>0</v>
      </c>
      <c r="AL38" s="1795">
        <f t="shared" si="7"/>
        <v>0</v>
      </c>
      <c r="AM38" s="1795">
        <f t="shared" si="7"/>
        <v>0</v>
      </c>
      <c r="AN38" s="1795">
        <f t="shared" si="7"/>
        <v>0</v>
      </c>
      <c r="AO38" s="1795">
        <f t="shared" si="7"/>
        <v>0</v>
      </c>
      <c r="AP38" s="1795">
        <f t="shared" si="7"/>
        <v>0</v>
      </c>
      <c r="AQ38" s="1795">
        <f t="shared" si="7"/>
        <v>0</v>
      </c>
      <c r="AR38" s="1795">
        <f t="shared" si="7"/>
        <v>0</v>
      </c>
      <c r="AS38" s="1795">
        <f t="shared" si="7"/>
        <v>0</v>
      </c>
      <c r="AT38" s="1795">
        <f t="shared" si="7"/>
        <v>0</v>
      </c>
      <c r="AU38" s="1795">
        <f t="shared" si="7"/>
        <v>0</v>
      </c>
      <c r="AV38" s="1795">
        <f t="shared" si="7"/>
        <v>0</v>
      </c>
      <c r="AW38" s="1795">
        <f t="shared" si="7"/>
        <v>0</v>
      </c>
      <c r="AX38" s="1795">
        <f t="shared" si="7"/>
        <v>0</v>
      </c>
      <c r="AY38" s="1795">
        <f t="shared" si="7"/>
        <v>0</v>
      </c>
      <c r="AZ38" s="1795">
        <f t="shared" si="7"/>
        <v>0</v>
      </c>
      <c r="BA38" s="1795">
        <f t="shared" si="7"/>
        <v>0</v>
      </c>
      <c r="BB38" s="1795">
        <f t="shared" si="7"/>
        <v>0</v>
      </c>
      <c r="BC38" s="1795">
        <f t="shared" si="7"/>
        <v>0</v>
      </c>
      <c r="BD38" s="1795">
        <f t="shared" si="7"/>
        <v>0</v>
      </c>
      <c r="BE38" s="1795">
        <f t="shared" si="7"/>
        <v>0</v>
      </c>
      <c r="BF38" s="1795">
        <f t="shared" si="7"/>
        <v>0</v>
      </c>
      <c r="BG38" s="1795">
        <f t="shared" si="7"/>
        <v>0</v>
      </c>
      <c r="BH38" s="1795">
        <f t="shared" si="7"/>
        <v>0</v>
      </c>
      <c r="BI38" s="1795">
        <f t="shared" si="7"/>
        <v>0</v>
      </c>
      <c r="BJ38" s="1795">
        <f t="shared" si="7"/>
        <v>0</v>
      </c>
      <c r="BK38" s="1795">
        <f t="shared" si="7"/>
        <v>0</v>
      </c>
      <c r="BL38" s="1795">
        <f t="shared" si="7"/>
        <v>0</v>
      </c>
      <c r="BM38" s="1795">
        <f t="shared" si="7"/>
        <v>0</v>
      </c>
      <c r="BN38" s="1795">
        <f t="shared" si="7"/>
        <v>0</v>
      </c>
      <c r="BO38" s="1795">
        <f t="shared" si="7"/>
        <v>0</v>
      </c>
      <c r="BP38" s="1795">
        <f t="shared" si="7"/>
        <v>0</v>
      </c>
      <c r="BQ38" s="1795">
        <f t="shared" si="7"/>
        <v>0</v>
      </c>
      <c r="BR38" s="1795">
        <f t="shared" si="7"/>
        <v>0</v>
      </c>
      <c r="BS38" s="1795">
        <f t="shared" si="7"/>
        <v>0</v>
      </c>
      <c r="BT38" s="1795">
        <f t="shared" si="7"/>
        <v>0</v>
      </c>
      <c r="BU38" s="1795">
        <f t="shared" si="7"/>
        <v>0</v>
      </c>
      <c r="BV38" s="1795">
        <f t="shared" si="7"/>
        <v>0</v>
      </c>
      <c r="BW38" s="1795">
        <f t="shared" si="7"/>
        <v>0</v>
      </c>
      <c r="BX38" s="1795">
        <f t="shared" si="7"/>
        <v>0</v>
      </c>
      <c r="BY38" s="1795">
        <f t="shared" si="7"/>
        <v>0</v>
      </c>
      <c r="BZ38" s="1795">
        <f t="shared" si="7"/>
        <v>0</v>
      </c>
      <c r="CA38" s="1795">
        <f t="shared" si="7"/>
        <v>0</v>
      </c>
      <c r="CB38" s="1795">
        <f t="shared" si="7"/>
        <v>0</v>
      </c>
      <c r="CC38" s="1795">
        <f t="shared" si="7"/>
        <v>0</v>
      </c>
      <c r="CD38" s="1795">
        <f t="shared" ref="CD38:CI38" si="8">SUM(CD35:CD37)</f>
        <v>0</v>
      </c>
      <c r="CE38" s="1795">
        <f t="shared" si="8"/>
        <v>0</v>
      </c>
      <c r="CF38" s="1795">
        <f t="shared" si="8"/>
        <v>0</v>
      </c>
      <c r="CG38" s="1795">
        <f t="shared" si="8"/>
        <v>0</v>
      </c>
      <c r="CH38" s="1795">
        <f t="shared" si="8"/>
        <v>0</v>
      </c>
      <c r="CI38" s="1795">
        <f t="shared" si="8"/>
        <v>0</v>
      </c>
    </row>
    <row r="39" spans="1:87" s="66" customFormat="1" ht="21" customHeight="1" thickBot="1" x14ac:dyDescent="0.25">
      <c r="A39" s="1941"/>
      <c r="B39" s="1918"/>
      <c r="C39" s="1919"/>
      <c r="D39" s="1919"/>
      <c r="E39" s="1203" t="s">
        <v>469</v>
      </c>
      <c r="F39" s="1149">
        <f>F38/9</f>
        <v>0</v>
      </c>
      <c r="G39" s="1934"/>
      <c r="H39" s="1796">
        <f t="shared" ref="H39:Q39" si="9">H38/9</f>
        <v>0</v>
      </c>
      <c r="I39" s="1796">
        <f t="shared" si="9"/>
        <v>0</v>
      </c>
      <c r="J39" s="1796">
        <f t="shared" si="9"/>
        <v>0</v>
      </c>
      <c r="K39" s="1796">
        <f t="shared" si="9"/>
        <v>0</v>
      </c>
      <c r="L39" s="1796">
        <f t="shared" si="9"/>
        <v>0</v>
      </c>
      <c r="M39" s="1796">
        <f t="shared" si="9"/>
        <v>0</v>
      </c>
      <c r="N39" s="1796">
        <f t="shared" si="9"/>
        <v>0</v>
      </c>
      <c r="O39" s="1796">
        <f t="shared" si="9"/>
        <v>0</v>
      </c>
      <c r="P39" s="1796">
        <f t="shared" si="9"/>
        <v>0</v>
      </c>
      <c r="Q39" s="1796">
        <f t="shared" si="9"/>
        <v>0</v>
      </c>
      <c r="R39" s="1796">
        <f t="shared" ref="R39:CC39" si="10">R38/9</f>
        <v>0</v>
      </c>
      <c r="S39" s="1796">
        <f t="shared" si="10"/>
        <v>0</v>
      </c>
      <c r="T39" s="1796">
        <f t="shared" si="10"/>
        <v>0</v>
      </c>
      <c r="U39" s="1796">
        <f t="shared" si="10"/>
        <v>0</v>
      </c>
      <c r="V39" s="1796">
        <f t="shared" si="10"/>
        <v>0</v>
      </c>
      <c r="W39" s="1796">
        <f t="shared" si="10"/>
        <v>0</v>
      </c>
      <c r="X39" s="1796">
        <f t="shared" si="10"/>
        <v>0</v>
      </c>
      <c r="Y39" s="1796">
        <f t="shared" si="10"/>
        <v>0</v>
      </c>
      <c r="Z39" s="1796">
        <f t="shared" si="10"/>
        <v>0</v>
      </c>
      <c r="AA39" s="1796">
        <f t="shared" si="10"/>
        <v>0</v>
      </c>
      <c r="AB39" s="1796">
        <f t="shared" si="10"/>
        <v>0</v>
      </c>
      <c r="AC39" s="1796">
        <f t="shared" si="10"/>
        <v>0</v>
      </c>
      <c r="AD39" s="1796">
        <f t="shared" si="10"/>
        <v>0</v>
      </c>
      <c r="AE39" s="1796">
        <f t="shared" si="10"/>
        <v>0</v>
      </c>
      <c r="AF39" s="1796">
        <f t="shared" si="10"/>
        <v>0</v>
      </c>
      <c r="AG39" s="1796">
        <f t="shared" si="10"/>
        <v>0</v>
      </c>
      <c r="AH39" s="1796">
        <f t="shared" si="10"/>
        <v>0</v>
      </c>
      <c r="AI39" s="1796">
        <f t="shared" si="10"/>
        <v>0</v>
      </c>
      <c r="AJ39" s="1796">
        <f t="shared" si="10"/>
        <v>0</v>
      </c>
      <c r="AK39" s="1796">
        <f t="shared" si="10"/>
        <v>0</v>
      </c>
      <c r="AL39" s="1796">
        <f t="shared" si="10"/>
        <v>0</v>
      </c>
      <c r="AM39" s="1796">
        <f t="shared" si="10"/>
        <v>0</v>
      </c>
      <c r="AN39" s="1796">
        <f t="shared" si="10"/>
        <v>0</v>
      </c>
      <c r="AO39" s="1796">
        <f t="shared" si="10"/>
        <v>0</v>
      </c>
      <c r="AP39" s="1796">
        <f t="shared" si="10"/>
        <v>0</v>
      </c>
      <c r="AQ39" s="1796">
        <f t="shared" si="10"/>
        <v>0</v>
      </c>
      <c r="AR39" s="1796">
        <f t="shared" si="10"/>
        <v>0</v>
      </c>
      <c r="AS39" s="1796">
        <f t="shared" si="10"/>
        <v>0</v>
      </c>
      <c r="AT39" s="1796">
        <f t="shared" si="10"/>
        <v>0</v>
      </c>
      <c r="AU39" s="1796">
        <f t="shared" si="10"/>
        <v>0</v>
      </c>
      <c r="AV39" s="1796">
        <f t="shared" si="10"/>
        <v>0</v>
      </c>
      <c r="AW39" s="1796">
        <f t="shared" si="10"/>
        <v>0</v>
      </c>
      <c r="AX39" s="1796">
        <f t="shared" si="10"/>
        <v>0</v>
      </c>
      <c r="AY39" s="1796">
        <f t="shared" si="10"/>
        <v>0</v>
      </c>
      <c r="AZ39" s="1796">
        <f t="shared" si="10"/>
        <v>0</v>
      </c>
      <c r="BA39" s="1796">
        <f t="shared" si="10"/>
        <v>0</v>
      </c>
      <c r="BB39" s="1796">
        <f t="shared" si="10"/>
        <v>0</v>
      </c>
      <c r="BC39" s="1796">
        <f t="shared" si="10"/>
        <v>0</v>
      </c>
      <c r="BD39" s="1796">
        <f t="shared" si="10"/>
        <v>0</v>
      </c>
      <c r="BE39" s="1796">
        <f t="shared" si="10"/>
        <v>0</v>
      </c>
      <c r="BF39" s="1796">
        <f t="shared" si="10"/>
        <v>0</v>
      </c>
      <c r="BG39" s="1796">
        <f t="shared" si="10"/>
        <v>0</v>
      </c>
      <c r="BH39" s="1796">
        <f t="shared" si="10"/>
        <v>0</v>
      </c>
      <c r="BI39" s="1796">
        <f t="shared" si="10"/>
        <v>0</v>
      </c>
      <c r="BJ39" s="1796">
        <f t="shared" si="10"/>
        <v>0</v>
      </c>
      <c r="BK39" s="1796">
        <f t="shared" si="10"/>
        <v>0</v>
      </c>
      <c r="BL39" s="1796">
        <f t="shared" si="10"/>
        <v>0</v>
      </c>
      <c r="BM39" s="1796">
        <f t="shared" si="10"/>
        <v>0</v>
      </c>
      <c r="BN39" s="1796">
        <f t="shared" si="10"/>
        <v>0</v>
      </c>
      <c r="BO39" s="1796">
        <f t="shared" si="10"/>
        <v>0</v>
      </c>
      <c r="BP39" s="1796">
        <f t="shared" si="10"/>
        <v>0</v>
      </c>
      <c r="BQ39" s="1796">
        <f t="shared" si="10"/>
        <v>0</v>
      </c>
      <c r="BR39" s="1796">
        <f t="shared" si="10"/>
        <v>0</v>
      </c>
      <c r="BS39" s="1796">
        <f t="shared" si="10"/>
        <v>0</v>
      </c>
      <c r="BT39" s="1796">
        <f t="shared" si="10"/>
        <v>0</v>
      </c>
      <c r="BU39" s="1796">
        <f t="shared" si="10"/>
        <v>0</v>
      </c>
      <c r="BV39" s="1796">
        <f t="shared" si="10"/>
        <v>0</v>
      </c>
      <c r="BW39" s="1796">
        <f t="shared" si="10"/>
        <v>0</v>
      </c>
      <c r="BX39" s="1796">
        <f t="shared" si="10"/>
        <v>0</v>
      </c>
      <c r="BY39" s="1796">
        <f t="shared" si="10"/>
        <v>0</v>
      </c>
      <c r="BZ39" s="1796">
        <f t="shared" si="10"/>
        <v>0</v>
      </c>
      <c r="CA39" s="1796">
        <f t="shared" si="10"/>
        <v>0</v>
      </c>
      <c r="CB39" s="1796">
        <f t="shared" si="10"/>
        <v>0</v>
      </c>
      <c r="CC39" s="1796">
        <f t="shared" si="10"/>
        <v>0</v>
      </c>
      <c r="CD39" s="1796">
        <f t="shared" ref="CD39:CI39" si="11">CD38/9</f>
        <v>0</v>
      </c>
      <c r="CE39" s="1796">
        <f t="shared" si="11"/>
        <v>0</v>
      </c>
      <c r="CF39" s="1796">
        <f t="shared" si="11"/>
        <v>0</v>
      </c>
      <c r="CG39" s="1796">
        <f t="shared" si="11"/>
        <v>0</v>
      </c>
      <c r="CH39" s="1796">
        <f t="shared" si="11"/>
        <v>0</v>
      </c>
      <c r="CI39" s="1796">
        <f t="shared" si="11"/>
        <v>0</v>
      </c>
    </row>
    <row r="40" spans="1:87" s="66" customFormat="1" ht="21" customHeight="1" thickBot="1" x14ac:dyDescent="0.25">
      <c r="A40" s="1940" t="s">
        <v>1712</v>
      </c>
      <c r="B40" s="1954" t="s">
        <v>461</v>
      </c>
      <c r="C40" s="1958"/>
      <c r="D40" s="1958"/>
      <c r="E40" s="1959"/>
      <c r="F40" s="1172"/>
      <c r="G40" s="1935"/>
      <c r="H40" s="1792"/>
      <c r="I40" s="1792"/>
      <c r="J40" s="1792"/>
      <c r="K40" s="1792"/>
      <c r="L40" s="1792"/>
      <c r="M40" s="1792"/>
      <c r="N40" s="1792"/>
      <c r="O40" s="1792"/>
      <c r="P40" s="1792"/>
      <c r="Q40" s="1792"/>
      <c r="R40" s="1792"/>
      <c r="S40" s="1792"/>
      <c r="T40" s="1792"/>
      <c r="U40" s="1792"/>
      <c r="V40" s="1792"/>
      <c r="W40" s="1792"/>
      <c r="X40" s="1792"/>
      <c r="Y40" s="1792"/>
      <c r="Z40" s="1792"/>
      <c r="AA40" s="1792"/>
      <c r="AB40" s="1792"/>
      <c r="AC40" s="1792"/>
      <c r="AD40" s="1792"/>
      <c r="AE40" s="1792"/>
      <c r="AF40" s="1792"/>
      <c r="AG40" s="1792"/>
      <c r="AH40" s="1792"/>
      <c r="AI40" s="1792"/>
      <c r="AJ40" s="1792"/>
      <c r="AK40" s="1792"/>
      <c r="AL40" s="1792"/>
      <c r="AM40" s="1792"/>
      <c r="AN40" s="1792"/>
      <c r="AO40" s="1792"/>
      <c r="AP40" s="1792"/>
      <c r="AQ40" s="1792"/>
      <c r="AR40" s="1792"/>
      <c r="AS40" s="1792"/>
      <c r="AT40" s="1792"/>
      <c r="AU40" s="1792"/>
      <c r="AV40" s="1792"/>
      <c r="AW40" s="1792"/>
      <c r="AX40" s="1792"/>
      <c r="AY40" s="1792"/>
      <c r="AZ40" s="1792"/>
      <c r="BA40" s="1792"/>
      <c r="BB40" s="1792"/>
      <c r="BC40" s="1792"/>
      <c r="BD40" s="1792"/>
      <c r="BE40" s="1792"/>
      <c r="BF40" s="1792"/>
      <c r="BG40" s="1792"/>
      <c r="BH40" s="1792"/>
      <c r="BI40" s="1792"/>
      <c r="BJ40" s="1792"/>
      <c r="BK40" s="1792"/>
      <c r="BL40" s="1792"/>
      <c r="BM40" s="1792"/>
      <c r="BN40" s="1792"/>
      <c r="BO40" s="1792"/>
      <c r="BP40" s="1792"/>
      <c r="BQ40" s="1792"/>
      <c r="BR40" s="1792"/>
      <c r="BS40" s="1792"/>
      <c r="BT40" s="1792"/>
      <c r="BU40" s="1792"/>
      <c r="BV40" s="1792"/>
      <c r="BW40" s="1792"/>
      <c r="BX40" s="1792"/>
      <c r="BY40" s="1792"/>
      <c r="BZ40" s="1792"/>
      <c r="CA40" s="1792"/>
      <c r="CB40" s="1792"/>
      <c r="CC40" s="1792"/>
      <c r="CD40" s="1792"/>
      <c r="CE40" s="1792"/>
      <c r="CF40" s="1792"/>
      <c r="CG40" s="1792"/>
      <c r="CH40" s="1792"/>
      <c r="CI40" s="1792"/>
    </row>
    <row r="41" spans="1:87" s="66" customFormat="1" ht="21" customHeight="1" thickBot="1" x14ac:dyDescent="0.25">
      <c r="A41" s="1941"/>
      <c r="B41" s="1927" t="s">
        <v>2454</v>
      </c>
      <c r="C41" s="1928"/>
      <c r="D41" s="1928"/>
      <c r="E41" s="1929"/>
      <c r="F41" s="706"/>
      <c r="G41" s="1936"/>
      <c r="H41" s="1747"/>
      <c r="I41" s="1747"/>
      <c r="J41" s="1747"/>
      <c r="K41" s="1747"/>
      <c r="L41" s="1747"/>
      <c r="M41" s="1747"/>
      <c r="N41" s="1747"/>
      <c r="O41" s="1747"/>
      <c r="P41" s="1747"/>
      <c r="Q41" s="1747"/>
      <c r="R41" s="1747"/>
      <c r="S41" s="1747"/>
      <c r="T41" s="1747"/>
      <c r="U41" s="1747"/>
      <c r="V41" s="1747"/>
      <c r="W41" s="1747"/>
      <c r="X41" s="1747"/>
      <c r="Y41" s="1747"/>
      <c r="Z41" s="1747"/>
      <c r="AA41" s="1747"/>
      <c r="AB41" s="1747"/>
      <c r="AC41" s="1747"/>
      <c r="AD41" s="1747"/>
      <c r="AE41" s="1747"/>
      <c r="AF41" s="1747"/>
      <c r="AG41" s="1747"/>
      <c r="AH41" s="1747"/>
      <c r="AI41" s="1747"/>
      <c r="AJ41" s="1747"/>
      <c r="AK41" s="1747"/>
      <c r="AL41" s="1747"/>
      <c r="AM41" s="1747"/>
      <c r="AN41" s="1747"/>
      <c r="AO41" s="1747"/>
      <c r="AP41" s="1747"/>
      <c r="AQ41" s="1747"/>
      <c r="AR41" s="1747"/>
      <c r="AS41" s="1747"/>
      <c r="AT41" s="1747"/>
      <c r="AU41" s="1747"/>
      <c r="AV41" s="1747"/>
      <c r="AW41" s="1747"/>
      <c r="AX41" s="1747"/>
      <c r="AY41" s="1747"/>
      <c r="AZ41" s="1747"/>
      <c r="BA41" s="1747"/>
      <c r="BB41" s="1747"/>
      <c r="BC41" s="1747"/>
      <c r="BD41" s="1747"/>
      <c r="BE41" s="1747"/>
      <c r="BF41" s="1747"/>
      <c r="BG41" s="1747"/>
      <c r="BH41" s="1747"/>
      <c r="BI41" s="1747"/>
      <c r="BJ41" s="1747"/>
      <c r="BK41" s="1747"/>
      <c r="BL41" s="1747"/>
      <c r="BM41" s="1747"/>
      <c r="BN41" s="1747"/>
      <c r="BO41" s="1747"/>
      <c r="BP41" s="1747"/>
      <c r="BQ41" s="1747"/>
      <c r="BR41" s="1747"/>
      <c r="BS41" s="1747"/>
      <c r="BT41" s="1747"/>
      <c r="BU41" s="1747"/>
      <c r="BV41" s="1747"/>
      <c r="BW41" s="1747"/>
      <c r="BX41" s="1747"/>
      <c r="BY41" s="1747"/>
      <c r="BZ41" s="1747"/>
      <c r="CA41" s="1747"/>
      <c r="CB41" s="1747"/>
      <c r="CC41" s="1747"/>
      <c r="CD41" s="1747"/>
      <c r="CE41" s="1747"/>
      <c r="CF41" s="1747"/>
      <c r="CG41" s="1747"/>
      <c r="CH41" s="1747"/>
      <c r="CI41" s="1747"/>
    </row>
    <row r="42" spans="1:87" s="66" customFormat="1" ht="15" customHeight="1" thickBot="1" x14ac:dyDescent="0.25">
      <c r="A42" s="1941"/>
      <c r="B42" s="1916" t="s">
        <v>1731</v>
      </c>
      <c r="C42" s="1917"/>
      <c r="D42" s="1917"/>
      <c r="E42" s="1926"/>
      <c r="F42" s="703"/>
      <c r="G42" s="1936"/>
      <c r="H42" s="1744"/>
      <c r="I42" s="1744"/>
      <c r="J42" s="1744"/>
      <c r="K42" s="1744"/>
      <c r="L42" s="1744"/>
      <c r="M42" s="1744"/>
      <c r="N42" s="1744"/>
      <c r="O42" s="1744"/>
      <c r="P42" s="1744"/>
      <c r="Q42" s="1744"/>
      <c r="R42" s="1744"/>
      <c r="S42" s="1744"/>
      <c r="T42" s="1744"/>
      <c r="U42" s="1744"/>
      <c r="V42" s="1744"/>
      <c r="W42" s="1744"/>
      <c r="X42" s="1744"/>
      <c r="Y42" s="1744"/>
      <c r="Z42" s="1744"/>
      <c r="AA42" s="1744"/>
      <c r="AB42" s="1744"/>
      <c r="AC42" s="1744"/>
      <c r="AD42" s="1744"/>
      <c r="AE42" s="1744"/>
      <c r="AF42" s="1744"/>
      <c r="AG42" s="1744"/>
      <c r="AH42" s="1744"/>
      <c r="AI42" s="1744"/>
      <c r="AJ42" s="1744"/>
      <c r="AK42" s="1744"/>
      <c r="AL42" s="1744"/>
      <c r="AM42" s="1744"/>
      <c r="AN42" s="1744"/>
      <c r="AO42" s="1744"/>
      <c r="AP42" s="1744"/>
      <c r="AQ42" s="1744"/>
      <c r="AR42" s="1744"/>
      <c r="AS42" s="1744"/>
      <c r="AT42" s="1744"/>
      <c r="AU42" s="1744"/>
      <c r="AV42" s="1744"/>
      <c r="AW42" s="1744"/>
      <c r="AX42" s="1744"/>
      <c r="AY42" s="1744"/>
      <c r="AZ42" s="1744"/>
      <c r="BA42" s="1744"/>
      <c r="BB42" s="1744"/>
      <c r="BC42" s="1744"/>
      <c r="BD42" s="1744"/>
      <c r="BE42" s="1744"/>
      <c r="BF42" s="1744"/>
      <c r="BG42" s="1744"/>
      <c r="BH42" s="1744"/>
      <c r="BI42" s="1744"/>
      <c r="BJ42" s="1744"/>
      <c r="BK42" s="1744"/>
      <c r="BL42" s="1744"/>
      <c r="BM42" s="1744"/>
      <c r="BN42" s="1744"/>
      <c r="BO42" s="1744"/>
      <c r="BP42" s="1744"/>
      <c r="BQ42" s="1744"/>
      <c r="BR42" s="1744"/>
      <c r="BS42" s="1744"/>
      <c r="BT42" s="1744"/>
      <c r="BU42" s="1744"/>
      <c r="BV42" s="1744"/>
      <c r="BW42" s="1744"/>
      <c r="BX42" s="1744"/>
      <c r="BY42" s="1744"/>
      <c r="BZ42" s="1744"/>
      <c r="CA42" s="1744"/>
      <c r="CB42" s="1744"/>
      <c r="CC42" s="1744"/>
      <c r="CD42" s="1744"/>
      <c r="CE42" s="1744"/>
      <c r="CF42" s="1744"/>
      <c r="CG42" s="1744"/>
      <c r="CH42" s="1744"/>
      <c r="CI42" s="1744"/>
    </row>
    <row r="43" spans="1:87" s="66" customFormat="1" ht="15" customHeight="1" thickBot="1" x14ac:dyDescent="0.25">
      <c r="A43" s="1941"/>
      <c r="B43" s="1916" t="s">
        <v>1732</v>
      </c>
      <c r="C43" s="1917"/>
      <c r="D43" s="1917"/>
      <c r="E43" s="1926"/>
      <c r="F43" s="703"/>
      <c r="G43" s="1936"/>
      <c r="H43" s="1744"/>
      <c r="I43" s="1744"/>
      <c r="J43" s="1744"/>
      <c r="K43" s="1744"/>
      <c r="L43" s="1744"/>
      <c r="M43" s="1744"/>
      <c r="N43" s="1744"/>
      <c r="O43" s="1744"/>
      <c r="P43" s="1744"/>
      <c r="Q43" s="1744"/>
      <c r="R43" s="1744"/>
      <c r="S43" s="1744"/>
      <c r="T43" s="1744"/>
      <c r="U43" s="1744"/>
      <c r="V43" s="1744"/>
      <c r="W43" s="1744"/>
      <c r="X43" s="1744"/>
      <c r="Y43" s="1744"/>
      <c r="Z43" s="1744"/>
      <c r="AA43" s="1744"/>
      <c r="AB43" s="1744"/>
      <c r="AC43" s="1744"/>
      <c r="AD43" s="1744"/>
      <c r="AE43" s="1744"/>
      <c r="AF43" s="1744"/>
      <c r="AG43" s="1744"/>
      <c r="AH43" s="1744"/>
      <c r="AI43" s="1744"/>
      <c r="AJ43" s="1744"/>
      <c r="AK43" s="1744"/>
      <c r="AL43" s="1744"/>
      <c r="AM43" s="1744"/>
      <c r="AN43" s="1744"/>
      <c r="AO43" s="1744"/>
      <c r="AP43" s="1744"/>
      <c r="AQ43" s="1744"/>
      <c r="AR43" s="1744"/>
      <c r="AS43" s="1744"/>
      <c r="AT43" s="1744"/>
      <c r="AU43" s="1744"/>
      <c r="AV43" s="1744"/>
      <c r="AW43" s="1744"/>
      <c r="AX43" s="1744"/>
      <c r="AY43" s="1744"/>
      <c r="AZ43" s="1744"/>
      <c r="BA43" s="1744"/>
      <c r="BB43" s="1744"/>
      <c r="BC43" s="1744"/>
      <c r="BD43" s="1744"/>
      <c r="BE43" s="1744"/>
      <c r="BF43" s="1744"/>
      <c r="BG43" s="1744"/>
      <c r="BH43" s="1744"/>
      <c r="BI43" s="1744"/>
      <c r="BJ43" s="1744"/>
      <c r="BK43" s="1744"/>
      <c r="BL43" s="1744"/>
      <c r="BM43" s="1744"/>
      <c r="BN43" s="1744"/>
      <c r="BO43" s="1744"/>
      <c r="BP43" s="1744"/>
      <c r="BQ43" s="1744"/>
      <c r="BR43" s="1744"/>
      <c r="BS43" s="1744"/>
      <c r="BT43" s="1744"/>
      <c r="BU43" s="1744"/>
      <c r="BV43" s="1744"/>
      <c r="BW43" s="1744"/>
      <c r="BX43" s="1744"/>
      <c r="BY43" s="1744"/>
      <c r="BZ43" s="1744"/>
      <c r="CA43" s="1744"/>
      <c r="CB43" s="1744"/>
      <c r="CC43" s="1744"/>
      <c r="CD43" s="1744"/>
      <c r="CE43" s="1744"/>
      <c r="CF43" s="1744"/>
      <c r="CG43" s="1744"/>
      <c r="CH43" s="1744"/>
      <c r="CI43" s="1744"/>
    </row>
    <row r="44" spans="1:87" s="66" customFormat="1" ht="15" customHeight="1" thickBot="1" x14ac:dyDescent="0.25">
      <c r="A44" s="1941"/>
      <c r="B44" s="1916" t="s">
        <v>1733</v>
      </c>
      <c r="C44" s="1917"/>
      <c r="D44" s="1917"/>
      <c r="E44" s="1926"/>
      <c r="F44" s="703"/>
      <c r="G44" s="1936"/>
      <c r="H44" s="1744"/>
      <c r="I44" s="1744"/>
      <c r="J44" s="1744"/>
      <c r="K44" s="1744"/>
      <c r="L44" s="1744"/>
      <c r="M44" s="1744"/>
      <c r="N44" s="1744"/>
      <c r="O44" s="1744"/>
      <c r="P44" s="1744"/>
      <c r="Q44" s="1744"/>
      <c r="R44" s="1744"/>
      <c r="S44" s="1744"/>
      <c r="T44" s="1744"/>
      <c r="U44" s="1744"/>
      <c r="V44" s="1744"/>
      <c r="W44" s="1744"/>
      <c r="X44" s="1744"/>
      <c r="Y44" s="1744"/>
      <c r="Z44" s="1744"/>
      <c r="AA44" s="1744"/>
      <c r="AB44" s="1744"/>
      <c r="AC44" s="1744"/>
      <c r="AD44" s="1744"/>
      <c r="AE44" s="1744"/>
      <c r="AF44" s="1744"/>
      <c r="AG44" s="1744"/>
      <c r="AH44" s="1744"/>
      <c r="AI44" s="1744"/>
      <c r="AJ44" s="1744"/>
      <c r="AK44" s="1744"/>
      <c r="AL44" s="1744"/>
      <c r="AM44" s="1744"/>
      <c r="AN44" s="1744"/>
      <c r="AO44" s="1744"/>
      <c r="AP44" s="1744"/>
      <c r="AQ44" s="1744"/>
      <c r="AR44" s="1744"/>
      <c r="AS44" s="1744"/>
      <c r="AT44" s="1744"/>
      <c r="AU44" s="1744"/>
      <c r="AV44" s="1744"/>
      <c r="AW44" s="1744"/>
      <c r="AX44" s="1744"/>
      <c r="AY44" s="1744"/>
      <c r="AZ44" s="1744"/>
      <c r="BA44" s="1744"/>
      <c r="BB44" s="1744"/>
      <c r="BC44" s="1744"/>
      <c r="BD44" s="1744"/>
      <c r="BE44" s="1744"/>
      <c r="BF44" s="1744"/>
      <c r="BG44" s="1744"/>
      <c r="BH44" s="1744"/>
      <c r="BI44" s="1744"/>
      <c r="BJ44" s="1744"/>
      <c r="BK44" s="1744"/>
      <c r="BL44" s="1744"/>
      <c r="BM44" s="1744"/>
      <c r="BN44" s="1744"/>
      <c r="BO44" s="1744"/>
      <c r="BP44" s="1744"/>
      <c r="BQ44" s="1744"/>
      <c r="BR44" s="1744"/>
      <c r="BS44" s="1744"/>
      <c r="BT44" s="1744"/>
      <c r="BU44" s="1744"/>
      <c r="BV44" s="1744"/>
      <c r="BW44" s="1744"/>
      <c r="BX44" s="1744"/>
      <c r="BY44" s="1744"/>
      <c r="BZ44" s="1744"/>
      <c r="CA44" s="1744"/>
      <c r="CB44" s="1744"/>
      <c r="CC44" s="1744"/>
      <c r="CD44" s="1744"/>
      <c r="CE44" s="1744"/>
      <c r="CF44" s="1744"/>
      <c r="CG44" s="1744"/>
      <c r="CH44" s="1744"/>
      <c r="CI44" s="1744"/>
    </row>
    <row r="45" spans="1:87" s="66" customFormat="1" ht="15" customHeight="1" thickBot="1" x14ac:dyDescent="0.25">
      <c r="A45" s="1941"/>
      <c r="B45" s="1916" t="s">
        <v>1734</v>
      </c>
      <c r="C45" s="1917"/>
      <c r="D45" s="1917"/>
      <c r="E45" s="1926"/>
      <c r="F45" s="703"/>
      <c r="G45" s="1936"/>
      <c r="H45" s="1744"/>
      <c r="I45" s="1744"/>
      <c r="J45" s="1744"/>
      <c r="K45" s="1744"/>
      <c r="L45" s="1744"/>
      <c r="M45" s="1744"/>
      <c r="N45" s="1744"/>
      <c r="O45" s="1744"/>
      <c r="P45" s="1744"/>
      <c r="Q45" s="1744"/>
      <c r="R45" s="1744"/>
      <c r="S45" s="1744"/>
      <c r="T45" s="1744"/>
      <c r="U45" s="1744"/>
      <c r="V45" s="1744"/>
      <c r="W45" s="1744"/>
      <c r="X45" s="1744"/>
      <c r="Y45" s="1744"/>
      <c r="Z45" s="1744"/>
      <c r="AA45" s="1744"/>
      <c r="AB45" s="1744"/>
      <c r="AC45" s="1744"/>
      <c r="AD45" s="1744"/>
      <c r="AE45" s="1744"/>
      <c r="AF45" s="1744"/>
      <c r="AG45" s="1744"/>
      <c r="AH45" s="1744"/>
      <c r="AI45" s="1744"/>
      <c r="AJ45" s="1744"/>
      <c r="AK45" s="1744"/>
      <c r="AL45" s="1744"/>
      <c r="AM45" s="1744"/>
      <c r="AN45" s="1744"/>
      <c r="AO45" s="1744"/>
      <c r="AP45" s="1744"/>
      <c r="AQ45" s="1744"/>
      <c r="AR45" s="1744"/>
      <c r="AS45" s="1744"/>
      <c r="AT45" s="1744"/>
      <c r="AU45" s="1744"/>
      <c r="AV45" s="1744"/>
      <c r="AW45" s="1744"/>
      <c r="AX45" s="1744"/>
      <c r="AY45" s="1744"/>
      <c r="AZ45" s="1744"/>
      <c r="BA45" s="1744"/>
      <c r="BB45" s="1744"/>
      <c r="BC45" s="1744"/>
      <c r="BD45" s="1744"/>
      <c r="BE45" s="1744"/>
      <c r="BF45" s="1744"/>
      <c r="BG45" s="1744"/>
      <c r="BH45" s="1744"/>
      <c r="BI45" s="1744"/>
      <c r="BJ45" s="1744"/>
      <c r="BK45" s="1744"/>
      <c r="BL45" s="1744"/>
      <c r="BM45" s="1744"/>
      <c r="BN45" s="1744"/>
      <c r="BO45" s="1744"/>
      <c r="BP45" s="1744"/>
      <c r="BQ45" s="1744"/>
      <c r="BR45" s="1744"/>
      <c r="BS45" s="1744"/>
      <c r="BT45" s="1744"/>
      <c r="BU45" s="1744"/>
      <c r="BV45" s="1744"/>
      <c r="BW45" s="1744"/>
      <c r="BX45" s="1744"/>
      <c r="BY45" s="1744"/>
      <c r="BZ45" s="1744"/>
      <c r="CA45" s="1744"/>
      <c r="CB45" s="1744"/>
      <c r="CC45" s="1744"/>
      <c r="CD45" s="1744"/>
      <c r="CE45" s="1744"/>
      <c r="CF45" s="1744"/>
      <c r="CG45" s="1744"/>
      <c r="CH45" s="1744"/>
      <c r="CI45" s="1744"/>
    </row>
    <row r="46" spans="1:87" s="66" customFormat="1" ht="30" customHeight="1" thickBot="1" x14ac:dyDescent="0.25">
      <c r="A46" s="1941"/>
      <c r="B46" s="1927" t="s">
        <v>1322</v>
      </c>
      <c r="C46" s="1928"/>
      <c r="D46" s="1928"/>
      <c r="E46" s="1929"/>
      <c r="F46" s="707"/>
      <c r="G46" s="1935"/>
      <c r="H46" s="1748"/>
      <c r="I46" s="1748"/>
      <c r="J46" s="1748"/>
      <c r="K46" s="1748"/>
      <c r="L46" s="1748"/>
      <c r="M46" s="1748"/>
      <c r="N46" s="1748"/>
      <c r="O46" s="1748"/>
      <c r="P46" s="1748"/>
      <c r="Q46" s="1748"/>
      <c r="R46" s="1748"/>
      <c r="S46" s="1748"/>
      <c r="T46" s="1748"/>
      <c r="U46" s="1748"/>
      <c r="V46" s="1748"/>
      <c r="W46" s="1748"/>
      <c r="X46" s="1748"/>
      <c r="Y46" s="1748"/>
      <c r="Z46" s="1748"/>
      <c r="AA46" s="1748"/>
      <c r="AB46" s="1748"/>
      <c r="AC46" s="1748"/>
      <c r="AD46" s="1748"/>
      <c r="AE46" s="1748"/>
      <c r="AF46" s="1748"/>
      <c r="AG46" s="1748"/>
      <c r="AH46" s="1748"/>
      <c r="AI46" s="1748"/>
      <c r="AJ46" s="1748"/>
      <c r="AK46" s="1748"/>
      <c r="AL46" s="1748"/>
      <c r="AM46" s="1748"/>
      <c r="AN46" s="1748"/>
      <c r="AO46" s="1748"/>
      <c r="AP46" s="1748"/>
      <c r="AQ46" s="1748"/>
      <c r="AR46" s="1748"/>
      <c r="AS46" s="1748"/>
      <c r="AT46" s="1748"/>
      <c r="AU46" s="1748"/>
      <c r="AV46" s="1748"/>
      <c r="AW46" s="1748"/>
      <c r="AX46" s="1748"/>
      <c r="AY46" s="1748"/>
      <c r="AZ46" s="1748"/>
      <c r="BA46" s="1748"/>
      <c r="BB46" s="1748"/>
      <c r="BC46" s="1748"/>
      <c r="BD46" s="1748"/>
      <c r="BE46" s="1748"/>
      <c r="BF46" s="1748"/>
      <c r="BG46" s="1748"/>
      <c r="BH46" s="1748"/>
      <c r="BI46" s="1748"/>
      <c r="BJ46" s="1748"/>
      <c r="BK46" s="1748"/>
      <c r="BL46" s="1748"/>
      <c r="BM46" s="1748"/>
      <c r="BN46" s="1748"/>
      <c r="BO46" s="1748"/>
      <c r="BP46" s="1748"/>
      <c r="BQ46" s="1748"/>
      <c r="BR46" s="1748"/>
      <c r="BS46" s="1748"/>
      <c r="BT46" s="1748"/>
      <c r="BU46" s="1748"/>
      <c r="BV46" s="1748"/>
      <c r="BW46" s="1748"/>
      <c r="BX46" s="1748"/>
      <c r="BY46" s="1748"/>
      <c r="BZ46" s="1748"/>
      <c r="CA46" s="1748"/>
      <c r="CB46" s="1748"/>
      <c r="CC46" s="1748"/>
      <c r="CD46" s="1748"/>
      <c r="CE46" s="1748"/>
      <c r="CF46" s="1748"/>
      <c r="CG46" s="1748"/>
      <c r="CH46" s="1748"/>
      <c r="CI46" s="1748"/>
    </row>
    <row r="47" spans="1:87" s="66" customFormat="1" ht="18" customHeight="1" thickBot="1" x14ac:dyDescent="0.25">
      <c r="A47" s="1941"/>
      <c r="B47" s="1204"/>
      <c r="C47" s="1197" t="s">
        <v>10</v>
      </c>
      <c r="D47" s="1197" t="s">
        <v>11</v>
      </c>
      <c r="E47" s="1198" t="s">
        <v>12</v>
      </c>
      <c r="F47" s="707"/>
      <c r="G47" s="1935"/>
      <c r="H47" s="1748"/>
      <c r="I47" s="1748"/>
      <c r="J47" s="1748"/>
      <c r="K47" s="1748"/>
      <c r="L47" s="1748"/>
      <c r="M47" s="1748"/>
      <c r="N47" s="1748"/>
      <c r="O47" s="1748"/>
      <c r="P47" s="1748"/>
      <c r="Q47" s="1748"/>
      <c r="R47" s="1748"/>
      <c r="S47" s="1748"/>
      <c r="T47" s="1748"/>
      <c r="U47" s="1748"/>
      <c r="V47" s="1748"/>
      <c r="W47" s="1748"/>
      <c r="X47" s="1748"/>
      <c r="Y47" s="1748"/>
      <c r="Z47" s="1748"/>
      <c r="AA47" s="1748"/>
      <c r="AB47" s="1748"/>
      <c r="AC47" s="1748"/>
      <c r="AD47" s="1748"/>
      <c r="AE47" s="1748"/>
      <c r="AF47" s="1748"/>
      <c r="AG47" s="1748"/>
      <c r="AH47" s="1748"/>
      <c r="AI47" s="1748"/>
      <c r="AJ47" s="1748"/>
      <c r="AK47" s="1748"/>
      <c r="AL47" s="1748"/>
      <c r="AM47" s="1748"/>
      <c r="AN47" s="1748"/>
      <c r="AO47" s="1748"/>
      <c r="AP47" s="1748"/>
      <c r="AQ47" s="1748"/>
      <c r="AR47" s="1748"/>
      <c r="AS47" s="1748"/>
      <c r="AT47" s="1748"/>
      <c r="AU47" s="1748"/>
      <c r="AV47" s="1748"/>
      <c r="AW47" s="1748"/>
      <c r="AX47" s="1748"/>
      <c r="AY47" s="1748"/>
      <c r="AZ47" s="1748"/>
      <c r="BA47" s="1748"/>
      <c r="BB47" s="1748"/>
      <c r="BC47" s="1748"/>
      <c r="BD47" s="1748"/>
      <c r="BE47" s="1748"/>
      <c r="BF47" s="1748"/>
      <c r="BG47" s="1748"/>
      <c r="BH47" s="1748"/>
      <c r="BI47" s="1748"/>
      <c r="BJ47" s="1748"/>
      <c r="BK47" s="1748"/>
      <c r="BL47" s="1748"/>
      <c r="BM47" s="1748"/>
      <c r="BN47" s="1748"/>
      <c r="BO47" s="1748"/>
      <c r="BP47" s="1748"/>
      <c r="BQ47" s="1748"/>
      <c r="BR47" s="1748"/>
      <c r="BS47" s="1748"/>
      <c r="BT47" s="1748"/>
      <c r="BU47" s="1748"/>
      <c r="BV47" s="1748"/>
      <c r="BW47" s="1748"/>
      <c r="BX47" s="1748"/>
      <c r="BY47" s="1748"/>
      <c r="BZ47" s="1748"/>
      <c r="CA47" s="1748"/>
      <c r="CB47" s="1748"/>
      <c r="CC47" s="1748"/>
      <c r="CD47" s="1748"/>
      <c r="CE47" s="1748"/>
      <c r="CF47" s="1748"/>
      <c r="CG47" s="1748"/>
      <c r="CH47" s="1748"/>
      <c r="CI47" s="1748"/>
    </row>
    <row r="48" spans="1:87" s="66" customFormat="1" ht="27" customHeight="1" thickBot="1" x14ac:dyDescent="0.25">
      <c r="A48" s="1941"/>
      <c r="B48" s="1199" t="s">
        <v>462</v>
      </c>
      <c r="C48" s="1200" t="s">
        <v>611</v>
      </c>
      <c r="D48" s="1200" t="s">
        <v>463</v>
      </c>
      <c r="E48" s="1201" t="s">
        <v>464</v>
      </c>
      <c r="F48" s="1173">
        <v>0</v>
      </c>
      <c r="G48" s="1937"/>
      <c r="H48" s="1761">
        <v>0</v>
      </c>
      <c r="I48" s="1761">
        <v>0</v>
      </c>
      <c r="J48" s="1761">
        <v>0</v>
      </c>
      <c r="K48" s="1761">
        <v>0</v>
      </c>
      <c r="L48" s="1761">
        <v>0</v>
      </c>
      <c r="M48" s="1761">
        <v>0</v>
      </c>
      <c r="N48" s="1761">
        <v>0</v>
      </c>
      <c r="O48" s="1761">
        <v>0</v>
      </c>
      <c r="P48" s="1761">
        <v>0</v>
      </c>
      <c r="Q48" s="1761">
        <v>0</v>
      </c>
      <c r="R48" s="1761">
        <v>0</v>
      </c>
      <c r="S48" s="1761">
        <v>0</v>
      </c>
      <c r="T48" s="1761">
        <v>0</v>
      </c>
      <c r="U48" s="1761">
        <v>0</v>
      </c>
      <c r="V48" s="1761">
        <v>0</v>
      </c>
      <c r="W48" s="1761">
        <v>0</v>
      </c>
      <c r="X48" s="1761">
        <v>0</v>
      </c>
      <c r="Y48" s="1761">
        <v>0</v>
      </c>
      <c r="Z48" s="1761">
        <v>0</v>
      </c>
      <c r="AA48" s="1761">
        <v>0</v>
      </c>
      <c r="AB48" s="1761">
        <v>0</v>
      </c>
      <c r="AC48" s="1761">
        <v>0</v>
      </c>
      <c r="AD48" s="1761">
        <v>0</v>
      </c>
      <c r="AE48" s="1761">
        <v>0</v>
      </c>
      <c r="AF48" s="1761">
        <v>0</v>
      </c>
      <c r="AG48" s="1761">
        <v>0</v>
      </c>
      <c r="AH48" s="1761">
        <v>0</v>
      </c>
      <c r="AI48" s="1761">
        <v>0</v>
      </c>
      <c r="AJ48" s="1761">
        <v>0</v>
      </c>
      <c r="AK48" s="1761">
        <v>0</v>
      </c>
      <c r="AL48" s="1761">
        <v>0</v>
      </c>
      <c r="AM48" s="1761">
        <v>0</v>
      </c>
      <c r="AN48" s="1761">
        <v>0</v>
      </c>
      <c r="AO48" s="1761">
        <v>0</v>
      </c>
      <c r="AP48" s="1761">
        <v>0</v>
      </c>
      <c r="AQ48" s="1761">
        <v>0</v>
      </c>
      <c r="AR48" s="1761">
        <v>0</v>
      </c>
      <c r="AS48" s="1761">
        <v>0</v>
      </c>
      <c r="AT48" s="1761">
        <v>0</v>
      </c>
      <c r="AU48" s="1761">
        <v>0</v>
      </c>
      <c r="AV48" s="1761">
        <v>0</v>
      </c>
      <c r="AW48" s="1761">
        <v>0</v>
      </c>
      <c r="AX48" s="1761">
        <v>0</v>
      </c>
      <c r="AY48" s="1761">
        <v>0</v>
      </c>
      <c r="AZ48" s="1761">
        <v>0</v>
      </c>
      <c r="BA48" s="1761">
        <v>0</v>
      </c>
      <c r="BB48" s="1761">
        <v>0</v>
      </c>
      <c r="BC48" s="1761">
        <v>0</v>
      </c>
      <c r="BD48" s="1761">
        <v>0</v>
      </c>
      <c r="BE48" s="1761">
        <v>0</v>
      </c>
      <c r="BF48" s="1761">
        <v>0</v>
      </c>
      <c r="BG48" s="1761">
        <v>0</v>
      </c>
      <c r="BH48" s="1761">
        <v>0</v>
      </c>
      <c r="BI48" s="1761">
        <v>0</v>
      </c>
      <c r="BJ48" s="1761">
        <v>0</v>
      </c>
      <c r="BK48" s="1761">
        <v>0</v>
      </c>
      <c r="BL48" s="1761">
        <v>0</v>
      </c>
      <c r="BM48" s="1761">
        <v>0</v>
      </c>
      <c r="BN48" s="1761">
        <v>0</v>
      </c>
      <c r="BO48" s="1761">
        <v>0</v>
      </c>
      <c r="BP48" s="1761">
        <v>0</v>
      </c>
      <c r="BQ48" s="1761">
        <v>0</v>
      </c>
      <c r="BR48" s="1761">
        <v>0</v>
      </c>
      <c r="BS48" s="1761">
        <v>0</v>
      </c>
      <c r="BT48" s="1761">
        <v>0</v>
      </c>
      <c r="BU48" s="1761">
        <v>0</v>
      </c>
      <c r="BV48" s="1761">
        <v>0</v>
      </c>
      <c r="BW48" s="1761">
        <v>0</v>
      </c>
      <c r="BX48" s="1761">
        <v>0</v>
      </c>
      <c r="BY48" s="1761">
        <v>0</v>
      </c>
      <c r="BZ48" s="1761">
        <v>0</v>
      </c>
      <c r="CA48" s="1761">
        <v>0</v>
      </c>
      <c r="CB48" s="1761">
        <v>0</v>
      </c>
      <c r="CC48" s="1761">
        <v>0</v>
      </c>
      <c r="CD48" s="1761">
        <v>0</v>
      </c>
      <c r="CE48" s="1761">
        <v>0</v>
      </c>
      <c r="CF48" s="1761">
        <v>0</v>
      </c>
      <c r="CG48" s="1761">
        <v>0</v>
      </c>
      <c r="CH48" s="1761">
        <v>0</v>
      </c>
      <c r="CI48" s="1761">
        <v>0</v>
      </c>
    </row>
    <row r="49" spans="1:87" s="66" customFormat="1" ht="15" customHeight="1" thickBot="1" x14ac:dyDescent="0.25">
      <c r="A49" s="1941"/>
      <c r="B49" s="1199" t="s">
        <v>40</v>
      </c>
      <c r="C49" s="1200" t="s">
        <v>69</v>
      </c>
      <c r="D49" s="1200" t="s">
        <v>68</v>
      </c>
      <c r="E49" s="1201" t="s">
        <v>70</v>
      </c>
      <c r="F49" s="1173">
        <v>0</v>
      </c>
      <c r="G49" s="1937"/>
      <c r="H49" s="1761">
        <v>0</v>
      </c>
      <c r="I49" s="1761">
        <v>0</v>
      </c>
      <c r="J49" s="1761">
        <v>0</v>
      </c>
      <c r="K49" s="1761">
        <v>0</v>
      </c>
      <c r="L49" s="1761">
        <v>0</v>
      </c>
      <c r="M49" s="1761">
        <v>0</v>
      </c>
      <c r="N49" s="1761">
        <v>0</v>
      </c>
      <c r="O49" s="1761">
        <v>0</v>
      </c>
      <c r="P49" s="1761">
        <v>0</v>
      </c>
      <c r="Q49" s="1761">
        <v>0</v>
      </c>
      <c r="R49" s="1761">
        <v>0</v>
      </c>
      <c r="S49" s="1761">
        <v>0</v>
      </c>
      <c r="T49" s="1761">
        <v>0</v>
      </c>
      <c r="U49" s="1761">
        <v>0</v>
      </c>
      <c r="V49" s="1761">
        <v>0</v>
      </c>
      <c r="W49" s="1761">
        <v>0</v>
      </c>
      <c r="X49" s="1761">
        <v>0</v>
      </c>
      <c r="Y49" s="1761">
        <v>0</v>
      </c>
      <c r="Z49" s="1761">
        <v>0</v>
      </c>
      <c r="AA49" s="1761">
        <v>0</v>
      </c>
      <c r="AB49" s="1761">
        <v>0</v>
      </c>
      <c r="AC49" s="1761">
        <v>0</v>
      </c>
      <c r="AD49" s="1761">
        <v>0</v>
      </c>
      <c r="AE49" s="1761">
        <v>0</v>
      </c>
      <c r="AF49" s="1761">
        <v>0</v>
      </c>
      <c r="AG49" s="1761">
        <v>0</v>
      </c>
      <c r="AH49" s="1761">
        <v>0</v>
      </c>
      <c r="AI49" s="1761">
        <v>0</v>
      </c>
      <c r="AJ49" s="1761">
        <v>0</v>
      </c>
      <c r="AK49" s="1761">
        <v>0</v>
      </c>
      <c r="AL49" s="1761">
        <v>0</v>
      </c>
      <c r="AM49" s="1761">
        <v>0</v>
      </c>
      <c r="AN49" s="1761">
        <v>0</v>
      </c>
      <c r="AO49" s="1761">
        <v>0</v>
      </c>
      <c r="AP49" s="1761">
        <v>0</v>
      </c>
      <c r="AQ49" s="1761">
        <v>0</v>
      </c>
      <c r="AR49" s="1761">
        <v>0</v>
      </c>
      <c r="AS49" s="1761">
        <v>0</v>
      </c>
      <c r="AT49" s="1761">
        <v>0</v>
      </c>
      <c r="AU49" s="1761">
        <v>0</v>
      </c>
      <c r="AV49" s="1761">
        <v>0</v>
      </c>
      <c r="AW49" s="1761">
        <v>0</v>
      </c>
      <c r="AX49" s="1761">
        <v>0</v>
      </c>
      <c r="AY49" s="1761">
        <v>0</v>
      </c>
      <c r="AZ49" s="1761">
        <v>0</v>
      </c>
      <c r="BA49" s="1761">
        <v>0</v>
      </c>
      <c r="BB49" s="1761">
        <v>0</v>
      </c>
      <c r="BC49" s="1761">
        <v>0</v>
      </c>
      <c r="BD49" s="1761">
        <v>0</v>
      </c>
      <c r="BE49" s="1761">
        <v>0</v>
      </c>
      <c r="BF49" s="1761">
        <v>0</v>
      </c>
      <c r="BG49" s="1761">
        <v>0</v>
      </c>
      <c r="BH49" s="1761">
        <v>0</v>
      </c>
      <c r="BI49" s="1761">
        <v>0</v>
      </c>
      <c r="BJ49" s="1761">
        <v>0</v>
      </c>
      <c r="BK49" s="1761">
        <v>0</v>
      </c>
      <c r="BL49" s="1761">
        <v>0</v>
      </c>
      <c r="BM49" s="1761">
        <v>0</v>
      </c>
      <c r="BN49" s="1761">
        <v>0</v>
      </c>
      <c r="BO49" s="1761">
        <v>0</v>
      </c>
      <c r="BP49" s="1761">
        <v>0</v>
      </c>
      <c r="BQ49" s="1761">
        <v>0</v>
      </c>
      <c r="BR49" s="1761">
        <v>0</v>
      </c>
      <c r="BS49" s="1761">
        <v>0</v>
      </c>
      <c r="BT49" s="1761">
        <v>0</v>
      </c>
      <c r="BU49" s="1761">
        <v>0</v>
      </c>
      <c r="BV49" s="1761">
        <v>0</v>
      </c>
      <c r="BW49" s="1761">
        <v>0</v>
      </c>
      <c r="BX49" s="1761">
        <v>0</v>
      </c>
      <c r="BY49" s="1761">
        <v>0</v>
      </c>
      <c r="BZ49" s="1761">
        <v>0</v>
      </c>
      <c r="CA49" s="1761">
        <v>0</v>
      </c>
      <c r="CB49" s="1761">
        <v>0</v>
      </c>
      <c r="CC49" s="1761">
        <v>0</v>
      </c>
      <c r="CD49" s="1761">
        <v>0</v>
      </c>
      <c r="CE49" s="1761">
        <v>0</v>
      </c>
      <c r="CF49" s="1761">
        <v>0</v>
      </c>
      <c r="CG49" s="1761">
        <v>0</v>
      </c>
      <c r="CH49" s="1761">
        <v>0</v>
      </c>
      <c r="CI49" s="1761">
        <v>0</v>
      </c>
    </row>
    <row r="50" spans="1:87" s="66" customFormat="1" ht="15" customHeight="1" thickBot="1" x14ac:dyDescent="0.25">
      <c r="A50" s="1941"/>
      <c r="B50" s="1199" t="s">
        <v>41</v>
      </c>
      <c r="C50" s="1178" t="s">
        <v>583</v>
      </c>
      <c r="D50" s="1178" t="s">
        <v>612</v>
      </c>
      <c r="E50" s="1179" t="s">
        <v>588</v>
      </c>
      <c r="F50" s="1174">
        <v>0</v>
      </c>
      <c r="G50" s="1937"/>
      <c r="H50" s="1762">
        <v>0</v>
      </c>
      <c r="I50" s="1762">
        <v>0</v>
      </c>
      <c r="J50" s="1762">
        <v>0</v>
      </c>
      <c r="K50" s="1762">
        <v>0</v>
      </c>
      <c r="L50" s="1762">
        <v>0</v>
      </c>
      <c r="M50" s="1762">
        <v>0</v>
      </c>
      <c r="N50" s="1762">
        <v>0</v>
      </c>
      <c r="O50" s="1762">
        <v>0</v>
      </c>
      <c r="P50" s="1762">
        <v>0</v>
      </c>
      <c r="Q50" s="1762">
        <v>0</v>
      </c>
      <c r="R50" s="1762">
        <v>0</v>
      </c>
      <c r="S50" s="1762">
        <v>0</v>
      </c>
      <c r="T50" s="1762">
        <v>0</v>
      </c>
      <c r="U50" s="1762">
        <v>0</v>
      </c>
      <c r="V50" s="1762">
        <v>0</v>
      </c>
      <c r="W50" s="1762">
        <v>0</v>
      </c>
      <c r="X50" s="1762">
        <v>0</v>
      </c>
      <c r="Y50" s="1762">
        <v>0</v>
      </c>
      <c r="Z50" s="1762">
        <v>0</v>
      </c>
      <c r="AA50" s="1762">
        <v>0</v>
      </c>
      <c r="AB50" s="1762">
        <v>0</v>
      </c>
      <c r="AC50" s="1762">
        <v>0</v>
      </c>
      <c r="AD50" s="1762">
        <v>0</v>
      </c>
      <c r="AE50" s="1762">
        <v>0</v>
      </c>
      <c r="AF50" s="1762">
        <v>0</v>
      </c>
      <c r="AG50" s="1762">
        <v>0</v>
      </c>
      <c r="AH50" s="1762">
        <v>0</v>
      </c>
      <c r="AI50" s="1762">
        <v>0</v>
      </c>
      <c r="AJ50" s="1762">
        <v>0</v>
      </c>
      <c r="AK50" s="1762">
        <v>0</v>
      </c>
      <c r="AL50" s="1762">
        <v>0</v>
      </c>
      <c r="AM50" s="1762">
        <v>0</v>
      </c>
      <c r="AN50" s="1762">
        <v>0</v>
      </c>
      <c r="AO50" s="1762">
        <v>0</v>
      </c>
      <c r="AP50" s="1762">
        <v>0</v>
      </c>
      <c r="AQ50" s="1762">
        <v>0</v>
      </c>
      <c r="AR50" s="1762">
        <v>0</v>
      </c>
      <c r="AS50" s="1762">
        <v>0</v>
      </c>
      <c r="AT50" s="1762">
        <v>0</v>
      </c>
      <c r="AU50" s="1762">
        <v>0</v>
      </c>
      <c r="AV50" s="1762">
        <v>0</v>
      </c>
      <c r="AW50" s="1762">
        <v>0</v>
      </c>
      <c r="AX50" s="1762">
        <v>0</v>
      </c>
      <c r="AY50" s="1762">
        <v>0</v>
      </c>
      <c r="AZ50" s="1762">
        <v>0</v>
      </c>
      <c r="BA50" s="1762">
        <v>0</v>
      </c>
      <c r="BB50" s="1762">
        <v>0</v>
      </c>
      <c r="BC50" s="1762">
        <v>0</v>
      </c>
      <c r="BD50" s="1762">
        <v>0</v>
      </c>
      <c r="BE50" s="1762">
        <v>0</v>
      </c>
      <c r="BF50" s="1762">
        <v>0</v>
      </c>
      <c r="BG50" s="1762">
        <v>0</v>
      </c>
      <c r="BH50" s="1762">
        <v>0</v>
      </c>
      <c r="BI50" s="1762">
        <v>0</v>
      </c>
      <c r="BJ50" s="1762">
        <v>0</v>
      </c>
      <c r="BK50" s="1762">
        <v>0</v>
      </c>
      <c r="BL50" s="1762">
        <v>0</v>
      </c>
      <c r="BM50" s="1762">
        <v>0</v>
      </c>
      <c r="BN50" s="1762">
        <v>0</v>
      </c>
      <c r="BO50" s="1762">
        <v>0</v>
      </c>
      <c r="BP50" s="1762">
        <v>0</v>
      </c>
      <c r="BQ50" s="1762">
        <v>0</v>
      </c>
      <c r="BR50" s="1762">
        <v>0</v>
      </c>
      <c r="BS50" s="1762">
        <v>0</v>
      </c>
      <c r="BT50" s="1762">
        <v>0</v>
      </c>
      <c r="BU50" s="1762">
        <v>0</v>
      </c>
      <c r="BV50" s="1762">
        <v>0</v>
      </c>
      <c r="BW50" s="1762">
        <v>0</v>
      </c>
      <c r="BX50" s="1762">
        <v>0</v>
      </c>
      <c r="BY50" s="1762">
        <v>0</v>
      </c>
      <c r="BZ50" s="1762">
        <v>0</v>
      </c>
      <c r="CA50" s="1762">
        <v>0</v>
      </c>
      <c r="CB50" s="1762">
        <v>0</v>
      </c>
      <c r="CC50" s="1762">
        <v>0</v>
      </c>
      <c r="CD50" s="1762">
        <v>0</v>
      </c>
      <c r="CE50" s="1762">
        <v>0</v>
      </c>
      <c r="CF50" s="1762">
        <v>0</v>
      </c>
      <c r="CG50" s="1762">
        <v>0</v>
      </c>
      <c r="CH50" s="1762">
        <v>0</v>
      </c>
      <c r="CI50" s="1762">
        <v>0</v>
      </c>
    </row>
    <row r="51" spans="1:87" s="66" customFormat="1" ht="21" customHeight="1" thickBot="1" x14ac:dyDescent="0.25">
      <c r="A51" s="1941"/>
      <c r="B51" s="1970" t="s">
        <v>1320</v>
      </c>
      <c r="C51" s="1970"/>
      <c r="D51" s="1970"/>
      <c r="E51" s="1971"/>
      <c r="F51" s="708">
        <f>SUM(F48:F50)</f>
        <v>0</v>
      </c>
      <c r="G51" s="1938"/>
      <c r="H51" s="1749">
        <f t="shared" ref="H51:Q51" si="12">SUM(H48:H50)</f>
        <v>0</v>
      </c>
      <c r="I51" s="1749">
        <f t="shared" si="12"/>
        <v>0</v>
      </c>
      <c r="J51" s="1749">
        <f t="shared" si="12"/>
        <v>0</v>
      </c>
      <c r="K51" s="1749">
        <f t="shared" si="12"/>
        <v>0</v>
      </c>
      <c r="L51" s="1749">
        <f t="shared" si="12"/>
        <v>0</v>
      </c>
      <c r="M51" s="1749">
        <f t="shared" si="12"/>
        <v>0</v>
      </c>
      <c r="N51" s="1749">
        <f t="shared" si="12"/>
        <v>0</v>
      </c>
      <c r="O51" s="1749">
        <f t="shared" si="12"/>
        <v>0</v>
      </c>
      <c r="P51" s="1749">
        <f t="shared" si="12"/>
        <v>0</v>
      </c>
      <c r="Q51" s="1749">
        <f t="shared" si="12"/>
        <v>0</v>
      </c>
      <c r="R51" s="1749">
        <f t="shared" ref="R51:CC51" si="13">SUM(R48:R50)</f>
        <v>0</v>
      </c>
      <c r="S51" s="1749">
        <f t="shared" si="13"/>
        <v>0</v>
      </c>
      <c r="T51" s="1749">
        <f t="shared" si="13"/>
        <v>0</v>
      </c>
      <c r="U51" s="1749">
        <f t="shared" si="13"/>
        <v>0</v>
      </c>
      <c r="V51" s="1749">
        <f t="shared" si="13"/>
        <v>0</v>
      </c>
      <c r="W51" s="1749">
        <f t="shared" si="13"/>
        <v>0</v>
      </c>
      <c r="X51" s="1749">
        <f t="shared" si="13"/>
        <v>0</v>
      </c>
      <c r="Y51" s="1749">
        <f t="shared" si="13"/>
        <v>0</v>
      </c>
      <c r="Z51" s="1749">
        <f t="shared" si="13"/>
        <v>0</v>
      </c>
      <c r="AA51" s="1749">
        <f t="shared" si="13"/>
        <v>0</v>
      </c>
      <c r="AB51" s="1749">
        <f t="shared" si="13"/>
        <v>0</v>
      </c>
      <c r="AC51" s="1749">
        <f t="shared" si="13"/>
        <v>0</v>
      </c>
      <c r="AD51" s="1749">
        <f t="shared" si="13"/>
        <v>0</v>
      </c>
      <c r="AE51" s="1749">
        <f t="shared" si="13"/>
        <v>0</v>
      </c>
      <c r="AF51" s="1749">
        <f t="shared" si="13"/>
        <v>0</v>
      </c>
      <c r="AG51" s="1749">
        <f t="shared" si="13"/>
        <v>0</v>
      </c>
      <c r="AH51" s="1749">
        <f t="shared" si="13"/>
        <v>0</v>
      </c>
      <c r="AI51" s="1749">
        <f t="shared" si="13"/>
        <v>0</v>
      </c>
      <c r="AJ51" s="1749">
        <f t="shared" si="13"/>
        <v>0</v>
      </c>
      <c r="AK51" s="1749">
        <f t="shared" si="13"/>
        <v>0</v>
      </c>
      <c r="AL51" s="1749">
        <f t="shared" si="13"/>
        <v>0</v>
      </c>
      <c r="AM51" s="1749">
        <f t="shared" si="13"/>
        <v>0</v>
      </c>
      <c r="AN51" s="1749">
        <f t="shared" si="13"/>
        <v>0</v>
      </c>
      <c r="AO51" s="1749">
        <f t="shared" si="13"/>
        <v>0</v>
      </c>
      <c r="AP51" s="1749">
        <f t="shared" si="13"/>
        <v>0</v>
      </c>
      <c r="AQ51" s="1749">
        <f t="shared" si="13"/>
        <v>0</v>
      </c>
      <c r="AR51" s="1749">
        <f t="shared" si="13"/>
        <v>0</v>
      </c>
      <c r="AS51" s="1749">
        <f t="shared" si="13"/>
        <v>0</v>
      </c>
      <c r="AT51" s="1749">
        <f t="shared" si="13"/>
        <v>0</v>
      </c>
      <c r="AU51" s="1749">
        <f t="shared" si="13"/>
        <v>0</v>
      </c>
      <c r="AV51" s="1749">
        <f t="shared" si="13"/>
        <v>0</v>
      </c>
      <c r="AW51" s="1749">
        <f t="shared" si="13"/>
        <v>0</v>
      </c>
      <c r="AX51" s="1749">
        <f t="shared" si="13"/>
        <v>0</v>
      </c>
      <c r="AY51" s="1749">
        <f t="shared" si="13"/>
        <v>0</v>
      </c>
      <c r="AZ51" s="1749">
        <f t="shared" si="13"/>
        <v>0</v>
      </c>
      <c r="BA51" s="1749">
        <f t="shared" si="13"/>
        <v>0</v>
      </c>
      <c r="BB51" s="1749">
        <f t="shared" si="13"/>
        <v>0</v>
      </c>
      <c r="BC51" s="1749">
        <f t="shared" si="13"/>
        <v>0</v>
      </c>
      <c r="BD51" s="1749">
        <f t="shared" si="13"/>
        <v>0</v>
      </c>
      <c r="BE51" s="1749">
        <f t="shared" si="13"/>
        <v>0</v>
      </c>
      <c r="BF51" s="1749">
        <f t="shared" si="13"/>
        <v>0</v>
      </c>
      <c r="BG51" s="1749">
        <f t="shared" si="13"/>
        <v>0</v>
      </c>
      <c r="BH51" s="1749">
        <f t="shared" si="13"/>
        <v>0</v>
      </c>
      <c r="BI51" s="1749">
        <f t="shared" si="13"/>
        <v>0</v>
      </c>
      <c r="BJ51" s="1749">
        <f t="shared" si="13"/>
        <v>0</v>
      </c>
      <c r="BK51" s="1749">
        <f t="shared" si="13"/>
        <v>0</v>
      </c>
      <c r="BL51" s="1749">
        <f t="shared" si="13"/>
        <v>0</v>
      </c>
      <c r="BM51" s="1749">
        <f t="shared" si="13"/>
        <v>0</v>
      </c>
      <c r="BN51" s="1749">
        <f t="shared" si="13"/>
        <v>0</v>
      </c>
      <c r="BO51" s="1749">
        <f t="shared" si="13"/>
        <v>0</v>
      </c>
      <c r="BP51" s="1749">
        <f t="shared" si="13"/>
        <v>0</v>
      </c>
      <c r="BQ51" s="1749">
        <f t="shared" si="13"/>
        <v>0</v>
      </c>
      <c r="BR51" s="1749">
        <f t="shared" si="13"/>
        <v>0</v>
      </c>
      <c r="BS51" s="1749">
        <f t="shared" si="13"/>
        <v>0</v>
      </c>
      <c r="BT51" s="1749">
        <f t="shared" si="13"/>
        <v>0</v>
      </c>
      <c r="BU51" s="1749">
        <f t="shared" si="13"/>
        <v>0</v>
      </c>
      <c r="BV51" s="1749">
        <f t="shared" si="13"/>
        <v>0</v>
      </c>
      <c r="BW51" s="1749">
        <f t="shared" si="13"/>
        <v>0</v>
      </c>
      <c r="BX51" s="1749">
        <f t="shared" si="13"/>
        <v>0</v>
      </c>
      <c r="BY51" s="1749">
        <f t="shared" si="13"/>
        <v>0</v>
      </c>
      <c r="BZ51" s="1749">
        <f t="shared" si="13"/>
        <v>0</v>
      </c>
      <c r="CA51" s="1749">
        <f t="shared" si="13"/>
        <v>0</v>
      </c>
      <c r="CB51" s="1749">
        <f t="shared" si="13"/>
        <v>0</v>
      </c>
      <c r="CC51" s="1749">
        <f t="shared" si="13"/>
        <v>0</v>
      </c>
      <c r="CD51" s="1749">
        <f t="shared" ref="CD51:CI51" si="14">SUM(CD48:CD50)</f>
        <v>0</v>
      </c>
      <c r="CE51" s="1749">
        <f t="shared" si="14"/>
        <v>0</v>
      </c>
      <c r="CF51" s="1749">
        <f t="shared" si="14"/>
        <v>0</v>
      </c>
      <c r="CG51" s="1749">
        <f t="shared" si="14"/>
        <v>0</v>
      </c>
      <c r="CH51" s="1749">
        <f t="shared" si="14"/>
        <v>0</v>
      </c>
      <c r="CI51" s="1749">
        <f t="shared" si="14"/>
        <v>0</v>
      </c>
    </row>
    <row r="52" spans="1:87" s="66" customFormat="1" ht="21" customHeight="1" thickBot="1" x14ac:dyDescent="0.25">
      <c r="A52" s="1941"/>
      <c r="B52" s="1918"/>
      <c r="C52" s="1919"/>
      <c r="D52" s="1919"/>
      <c r="E52" s="1203" t="s">
        <v>469</v>
      </c>
      <c r="F52" s="977">
        <f>F51/9</f>
        <v>0</v>
      </c>
      <c r="G52" s="1939"/>
      <c r="H52" s="1751">
        <f t="shared" ref="H52:Q52" si="15">H51/9</f>
        <v>0</v>
      </c>
      <c r="I52" s="1751">
        <f t="shared" si="15"/>
        <v>0</v>
      </c>
      <c r="J52" s="1751">
        <f t="shared" si="15"/>
        <v>0</v>
      </c>
      <c r="K52" s="1751">
        <f t="shared" si="15"/>
        <v>0</v>
      </c>
      <c r="L52" s="1751">
        <f t="shared" si="15"/>
        <v>0</v>
      </c>
      <c r="M52" s="1751">
        <f t="shared" si="15"/>
        <v>0</v>
      </c>
      <c r="N52" s="1751">
        <f t="shared" si="15"/>
        <v>0</v>
      </c>
      <c r="O52" s="1751">
        <f t="shared" si="15"/>
        <v>0</v>
      </c>
      <c r="P52" s="1751">
        <f t="shared" si="15"/>
        <v>0</v>
      </c>
      <c r="Q52" s="1751">
        <f t="shared" si="15"/>
        <v>0</v>
      </c>
      <c r="R52" s="1751">
        <f t="shared" ref="R52:CC52" si="16">R51/9</f>
        <v>0</v>
      </c>
      <c r="S52" s="1751">
        <f t="shared" si="16"/>
        <v>0</v>
      </c>
      <c r="T52" s="1751">
        <f t="shared" si="16"/>
        <v>0</v>
      </c>
      <c r="U52" s="1751">
        <f t="shared" si="16"/>
        <v>0</v>
      </c>
      <c r="V52" s="1751">
        <f t="shared" si="16"/>
        <v>0</v>
      </c>
      <c r="W52" s="1751">
        <f t="shared" si="16"/>
        <v>0</v>
      </c>
      <c r="X52" s="1751">
        <f t="shared" si="16"/>
        <v>0</v>
      </c>
      <c r="Y52" s="1751">
        <f t="shared" si="16"/>
        <v>0</v>
      </c>
      <c r="Z52" s="1751">
        <f t="shared" si="16"/>
        <v>0</v>
      </c>
      <c r="AA52" s="1751">
        <f t="shared" si="16"/>
        <v>0</v>
      </c>
      <c r="AB52" s="1751">
        <f t="shared" si="16"/>
        <v>0</v>
      </c>
      <c r="AC52" s="1751">
        <f t="shared" si="16"/>
        <v>0</v>
      </c>
      <c r="AD52" s="1751">
        <f t="shared" si="16"/>
        <v>0</v>
      </c>
      <c r="AE52" s="1751">
        <f t="shared" si="16"/>
        <v>0</v>
      </c>
      <c r="AF52" s="1751">
        <f t="shared" si="16"/>
        <v>0</v>
      </c>
      <c r="AG52" s="1751">
        <f t="shared" si="16"/>
        <v>0</v>
      </c>
      <c r="AH52" s="1751">
        <f t="shared" si="16"/>
        <v>0</v>
      </c>
      <c r="AI52" s="1751">
        <f t="shared" si="16"/>
        <v>0</v>
      </c>
      <c r="AJ52" s="1751">
        <f t="shared" si="16"/>
        <v>0</v>
      </c>
      <c r="AK52" s="1751">
        <f t="shared" si="16"/>
        <v>0</v>
      </c>
      <c r="AL52" s="1751">
        <f t="shared" si="16"/>
        <v>0</v>
      </c>
      <c r="AM52" s="1751">
        <f t="shared" si="16"/>
        <v>0</v>
      </c>
      <c r="AN52" s="1751">
        <f t="shared" si="16"/>
        <v>0</v>
      </c>
      <c r="AO52" s="1751">
        <f t="shared" si="16"/>
        <v>0</v>
      </c>
      <c r="AP52" s="1751">
        <f t="shared" si="16"/>
        <v>0</v>
      </c>
      <c r="AQ52" s="1751">
        <f t="shared" si="16"/>
        <v>0</v>
      </c>
      <c r="AR52" s="1751">
        <f t="shared" si="16"/>
        <v>0</v>
      </c>
      <c r="AS52" s="1751">
        <f t="shared" si="16"/>
        <v>0</v>
      </c>
      <c r="AT52" s="1751">
        <f t="shared" si="16"/>
        <v>0</v>
      </c>
      <c r="AU52" s="1751">
        <f t="shared" si="16"/>
        <v>0</v>
      </c>
      <c r="AV52" s="1751">
        <f t="shared" si="16"/>
        <v>0</v>
      </c>
      <c r="AW52" s="1751">
        <f t="shared" si="16"/>
        <v>0</v>
      </c>
      <c r="AX52" s="1751">
        <f t="shared" si="16"/>
        <v>0</v>
      </c>
      <c r="AY52" s="1751">
        <f t="shared" si="16"/>
        <v>0</v>
      </c>
      <c r="AZ52" s="1751">
        <f t="shared" si="16"/>
        <v>0</v>
      </c>
      <c r="BA52" s="1751">
        <f t="shared" si="16"/>
        <v>0</v>
      </c>
      <c r="BB52" s="1751">
        <f t="shared" si="16"/>
        <v>0</v>
      </c>
      <c r="BC52" s="1751">
        <f t="shared" si="16"/>
        <v>0</v>
      </c>
      <c r="BD52" s="1751">
        <f t="shared" si="16"/>
        <v>0</v>
      </c>
      <c r="BE52" s="1751">
        <f t="shared" si="16"/>
        <v>0</v>
      </c>
      <c r="BF52" s="1751">
        <f t="shared" si="16"/>
        <v>0</v>
      </c>
      <c r="BG52" s="1751">
        <f t="shared" si="16"/>
        <v>0</v>
      </c>
      <c r="BH52" s="1751">
        <f t="shared" si="16"/>
        <v>0</v>
      </c>
      <c r="BI52" s="1751">
        <f t="shared" si="16"/>
        <v>0</v>
      </c>
      <c r="BJ52" s="1751">
        <f t="shared" si="16"/>
        <v>0</v>
      </c>
      <c r="BK52" s="1751">
        <f t="shared" si="16"/>
        <v>0</v>
      </c>
      <c r="BL52" s="1751">
        <f t="shared" si="16"/>
        <v>0</v>
      </c>
      <c r="BM52" s="1751">
        <f t="shared" si="16"/>
        <v>0</v>
      </c>
      <c r="BN52" s="1751">
        <f t="shared" si="16"/>
        <v>0</v>
      </c>
      <c r="BO52" s="1751">
        <f t="shared" si="16"/>
        <v>0</v>
      </c>
      <c r="BP52" s="1751">
        <f t="shared" si="16"/>
        <v>0</v>
      </c>
      <c r="BQ52" s="1751">
        <f t="shared" si="16"/>
        <v>0</v>
      </c>
      <c r="BR52" s="1751">
        <f t="shared" si="16"/>
        <v>0</v>
      </c>
      <c r="BS52" s="1751">
        <f t="shared" si="16"/>
        <v>0</v>
      </c>
      <c r="BT52" s="1751">
        <f t="shared" si="16"/>
        <v>0</v>
      </c>
      <c r="BU52" s="1751">
        <f t="shared" si="16"/>
        <v>0</v>
      </c>
      <c r="BV52" s="1751">
        <f t="shared" si="16"/>
        <v>0</v>
      </c>
      <c r="BW52" s="1751">
        <f t="shared" si="16"/>
        <v>0</v>
      </c>
      <c r="BX52" s="1751">
        <f t="shared" si="16"/>
        <v>0</v>
      </c>
      <c r="BY52" s="1751">
        <f t="shared" si="16"/>
        <v>0</v>
      </c>
      <c r="BZ52" s="1751">
        <f t="shared" si="16"/>
        <v>0</v>
      </c>
      <c r="CA52" s="1751">
        <f t="shared" si="16"/>
        <v>0</v>
      </c>
      <c r="CB52" s="1751">
        <f t="shared" si="16"/>
        <v>0</v>
      </c>
      <c r="CC52" s="1751">
        <f t="shared" si="16"/>
        <v>0</v>
      </c>
      <c r="CD52" s="1751">
        <f t="shared" ref="CD52:CI52" si="17">CD51/9</f>
        <v>0</v>
      </c>
      <c r="CE52" s="1751">
        <f t="shared" si="17"/>
        <v>0</v>
      </c>
      <c r="CF52" s="1751">
        <f t="shared" si="17"/>
        <v>0</v>
      </c>
      <c r="CG52" s="1751">
        <f t="shared" si="17"/>
        <v>0</v>
      </c>
      <c r="CH52" s="1751">
        <f t="shared" si="17"/>
        <v>0</v>
      </c>
      <c r="CI52" s="1751">
        <f t="shared" si="17"/>
        <v>0</v>
      </c>
    </row>
    <row r="53" spans="1:87" s="66" customFormat="1" ht="21" customHeight="1" thickBot="1" x14ac:dyDescent="0.25">
      <c r="A53" s="1967" t="s">
        <v>1713</v>
      </c>
      <c r="B53" s="1954" t="s">
        <v>2236</v>
      </c>
      <c r="C53" s="1917"/>
      <c r="D53" s="1917"/>
      <c r="E53" s="1926"/>
      <c r="F53" s="1172"/>
      <c r="G53" s="1156"/>
      <c r="H53" s="1760"/>
      <c r="I53" s="1760"/>
      <c r="J53" s="1760"/>
      <c r="K53" s="1760"/>
      <c r="L53" s="1760"/>
      <c r="M53" s="1760"/>
      <c r="N53" s="1760"/>
      <c r="O53" s="1760"/>
      <c r="P53" s="1760"/>
      <c r="Q53" s="1760"/>
      <c r="R53" s="1760"/>
      <c r="S53" s="1760"/>
      <c r="T53" s="1760"/>
      <c r="U53" s="1760"/>
      <c r="V53" s="1760"/>
      <c r="W53" s="1760"/>
      <c r="X53" s="1760"/>
      <c r="Y53" s="1760"/>
      <c r="Z53" s="1760"/>
      <c r="AA53" s="1760"/>
      <c r="AB53" s="1760"/>
      <c r="AC53" s="1760"/>
      <c r="AD53" s="1760"/>
      <c r="AE53" s="1760"/>
      <c r="AF53" s="1760"/>
      <c r="AG53" s="1760"/>
      <c r="AH53" s="1760"/>
      <c r="AI53" s="1760"/>
      <c r="AJ53" s="1760"/>
      <c r="AK53" s="1760"/>
      <c r="AL53" s="1760"/>
      <c r="AM53" s="1760"/>
      <c r="AN53" s="1760"/>
      <c r="AO53" s="1760"/>
      <c r="AP53" s="1760"/>
      <c r="AQ53" s="1760"/>
      <c r="AR53" s="1760"/>
      <c r="AS53" s="1760"/>
      <c r="AT53" s="1760"/>
      <c r="AU53" s="1760"/>
      <c r="AV53" s="1760"/>
      <c r="AW53" s="1760"/>
      <c r="AX53" s="1760"/>
      <c r="AY53" s="1760"/>
      <c r="AZ53" s="1760"/>
      <c r="BA53" s="1760"/>
      <c r="BB53" s="1760"/>
      <c r="BC53" s="1760"/>
      <c r="BD53" s="1760"/>
      <c r="BE53" s="1760"/>
      <c r="BF53" s="1760"/>
      <c r="BG53" s="1760"/>
      <c r="BH53" s="1760"/>
      <c r="BI53" s="1760"/>
      <c r="BJ53" s="1760"/>
      <c r="BK53" s="1760"/>
      <c r="BL53" s="1760"/>
      <c r="BM53" s="1760"/>
      <c r="BN53" s="1760"/>
      <c r="BO53" s="1760"/>
      <c r="BP53" s="1760"/>
      <c r="BQ53" s="1760"/>
      <c r="BR53" s="1760"/>
      <c r="BS53" s="1760"/>
      <c r="BT53" s="1760"/>
      <c r="BU53" s="1760"/>
      <c r="BV53" s="1760"/>
      <c r="BW53" s="1760"/>
      <c r="BX53" s="1760"/>
      <c r="BY53" s="1760"/>
      <c r="BZ53" s="1760"/>
      <c r="CA53" s="1760"/>
      <c r="CB53" s="1760"/>
      <c r="CC53" s="1760"/>
      <c r="CD53" s="1760"/>
      <c r="CE53" s="1760"/>
      <c r="CF53" s="1760"/>
      <c r="CG53" s="1760"/>
      <c r="CH53" s="1760"/>
      <c r="CI53" s="1760"/>
    </row>
    <row r="54" spans="1:87" s="66" customFormat="1" ht="21" customHeight="1" thickBot="1" x14ac:dyDescent="0.25">
      <c r="A54" s="1968"/>
      <c r="B54" s="1927" t="s">
        <v>2455</v>
      </c>
      <c r="C54" s="1928"/>
      <c r="D54" s="1928"/>
      <c r="E54" s="1929"/>
      <c r="F54" s="1175"/>
      <c r="G54" s="1156"/>
      <c r="H54" s="1763"/>
      <c r="I54" s="1763"/>
      <c r="J54" s="1763"/>
      <c r="K54" s="1763"/>
      <c r="L54" s="1763"/>
      <c r="M54" s="1763"/>
      <c r="N54" s="1763"/>
      <c r="O54" s="1763"/>
      <c r="P54" s="1763"/>
      <c r="Q54" s="1763"/>
      <c r="R54" s="1763"/>
      <c r="S54" s="1763"/>
      <c r="T54" s="1763"/>
      <c r="U54" s="1763"/>
      <c r="V54" s="1763"/>
      <c r="W54" s="1763"/>
      <c r="X54" s="1763"/>
      <c r="Y54" s="1763"/>
      <c r="Z54" s="1763"/>
      <c r="AA54" s="1763"/>
      <c r="AB54" s="1763"/>
      <c r="AC54" s="1763"/>
      <c r="AD54" s="1763"/>
      <c r="AE54" s="1763"/>
      <c r="AF54" s="1763"/>
      <c r="AG54" s="1763"/>
      <c r="AH54" s="1763"/>
      <c r="AI54" s="1763"/>
      <c r="AJ54" s="1763"/>
      <c r="AK54" s="1763"/>
      <c r="AL54" s="1763"/>
      <c r="AM54" s="1763"/>
      <c r="AN54" s="1763"/>
      <c r="AO54" s="1763"/>
      <c r="AP54" s="1763"/>
      <c r="AQ54" s="1763"/>
      <c r="AR54" s="1763"/>
      <c r="AS54" s="1763"/>
      <c r="AT54" s="1763"/>
      <c r="AU54" s="1763"/>
      <c r="AV54" s="1763"/>
      <c r="AW54" s="1763"/>
      <c r="AX54" s="1763"/>
      <c r="AY54" s="1763"/>
      <c r="AZ54" s="1763"/>
      <c r="BA54" s="1763"/>
      <c r="BB54" s="1763"/>
      <c r="BC54" s="1763"/>
      <c r="BD54" s="1763"/>
      <c r="BE54" s="1763"/>
      <c r="BF54" s="1763"/>
      <c r="BG54" s="1763"/>
      <c r="BH54" s="1763"/>
      <c r="BI54" s="1763"/>
      <c r="BJ54" s="1763"/>
      <c r="BK54" s="1763"/>
      <c r="BL54" s="1763"/>
      <c r="BM54" s="1763"/>
      <c r="BN54" s="1763"/>
      <c r="BO54" s="1763"/>
      <c r="BP54" s="1763"/>
      <c r="BQ54" s="1763"/>
      <c r="BR54" s="1763"/>
      <c r="BS54" s="1763"/>
      <c r="BT54" s="1763"/>
      <c r="BU54" s="1763"/>
      <c r="BV54" s="1763"/>
      <c r="BW54" s="1763"/>
      <c r="BX54" s="1763"/>
      <c r="BY54" s="1763"/>
      <c r="BZ54" s="1763"/>
      <c r="CA54" s="1763"/>
      <c r="CB54" s="1763"/>
      <c r="CC54" s="1763"/>
      <c r="CD54" s="1763"/>
      <c r="CE54" s="1763"/>
      <c r="CF54" s="1763"/>
      <c r="CG54" s="1763"/>
      <c r="CH54" s="1763"/>
      <c r="CI54" s="1763"/>
    </row>
    <row r="55" spans="1:87" s="66" customFormat="1" ht="15" customHeight="1" thickBot="1" x14ac:dyDescent="0.25">
      <c r="A55" s="1968"/>
      <c r="B55" s="1916" t="s">
        <v>1735</v>
      </c>
      <c r="C55" s="1917"/>
      <c r="D55" s="1917"/>
      <c r="E55" s="1926"/>
      <c r="F55" s="703"/>
      <c r="G55" s="1158"/>
      <c r="H55" s="1744"/>
      <c r="I55" s="1744"/>
      <c r="J55" s="1744"/>
      <c r="K55" s="1744"/>
      <c r="L55" s="1744"/>
      <c r="M55" s="1744"/>
      <c r="N55" s="1744"/>
      <c r="O55" s="1744"/>
      <c r="P55" s="1744"/>
      <c r="Q55" s="1744"/>
      <c r="R55" s="1744"/>
      <c r="S55" s="1744"/>
      <c r="T55" s="1744"/>
      <c r="U55" s="1744"/>
      <c r="V55" s="1744"/>
      <c r="W55" s="1744"/>
      <c r="X55" s="1744"/>
      <c r="Y55" s="1744"/>
      <c r="Z55" s="1744"/>
      <c r="AA55" s="1744"/>
      <c r="AB55" s="1744"/>
      <c r="AC55" s="1744"/>
      <c r="AD55" s="1744"/>
      <c r="AE55" s="1744"/>
      <c r="AF55" s="1744"/>
      <c r="AG55" s="1744"/>
      <c r="AH55" s="1744"/>
      <c r="AI55" s="1744"/>
      <c r="AJ55" s="1744"/>
      <c r="AK55" s="1744"/>
      <c r="AL55" s="1744"/>
      <c r="AM55" s="1744"/>
      <c r="AN55" s="1744"/>
      <c r="AO55" s="1744"/>
      <c r="AP55" s="1744"/>
      <c r="AQ55" s="1744"/>
      <c r="AR55" s="1744"/>
      <c r="AS55" s="1744"/>
      <c r="AT55" s="1744"/>
      <c r="AU55" s="1744"/>
      <c r="AV55" s="1744"/>
      <c r="AW55" s="1744"/>
      <c r="AX55" s="1744"/>
      <c r="AY55" s="1744"/>
      <c r="AZ55" s="1744"/>
      <c r="BA55" s="1744"/>
      <c r="BB55" s="1744"/>
      <c r="BC55" s="1744"/>
      <c r="BD55" s="1744"/>
      <c r="BE55" s="1744"/>
      <c r="BF55" s="1744"/>
      <c r="BG55" s="1744"/>
      <c r="BH55" s="1744"/>
      <c r="BI55" s="1744"/>
      <c r="BJ55" s="1744"/>
      <c r="BK55" s="1744"/>
      <c r="BL55" s="1744"/>
      <c r="BM55" s="1744"/>
      <c r="BN55" s="1744"/>
      <c r="BO55" s="1744"/>
      <c r="BP55" s="1744"/>
      <c r="BQ55" s="1744"/>
      <c r="BR55" s="1744"/>
      <c r="BS55" s="1744"/>
      <c r="BT55" s="1744"/>
      <c r="BU55" s="1744"/>
      <c r="BV55" s="1744"/>
      <c r="BW55" s="1744"/>
      <c r="BX55" s="1744"/>
      <c r="BY55" s="1744"/>
      <c r="BZ55" s="1744"/>
      <c r="CA55" s="1744"/>
      <c r="CB55" s="1744"/>
      <c r="CC55" s="1744"/>
      <c r="CD55" s="1744"/>
      <c r="CE55" s="1744"/>
      <c r="CF55" s="1744"/>
      <c r="CG55" s="1744"/>
      <c r="CH55" s="1744"/>
      <c r="CI55" s="1744"/>
    </row>
    <row r="56" spans="1:87" s="66" customFormat="1" ht="15" customHeight="1" thickBot="1" x14ac:dyDescent="0.25">
      <c r="A56" s="1968"/>
      <c r="B56" s="1916" t="s">
        <v>1736</v>
      </c>
      <c r="C56" s="1917"/>
      <c r="D56" s="1917"/>
      <c r="E56" s="1926"/>
      <c r="F56" s="703"/>
      <c r="G56" s="1158"/>
      <c r="H56" s="1744"/>
      <c r="I56" s="1744"/>
      <c r="J56" s="1744"/>
      <c r="K56" s="1744"/>
      <c r="L56" s="1744"/>
      <c r="M56" s="1744"/>
      <c r="N56" s="1744"/>
      <c r="O56" s="1744"/>
      <c r="P56" s="1744"/>
      <c r="Q56" s="1744"/>
      <c r="R56" s="1744"/>
      <c r="S56" s="1744"/>
      <c r="T56" s="1744"/>
      <c r="U56" s="1744"/>
      <c r="V56" s="1744"/>
      <c r="W56" s="1744"/>
      <c r="X56" s="1744"/>
      <c r="Y56" s="1744"/>
      <c r="Z56" s="1744"/>
      <c r="AA56" s="1744"/>
      <c r="AB56" s="1744"/>
      <c r="AC56" s="1744"/>
      <c r="AD56" s="1744"/>
      <c r="AE56" s="1744"/>
      <c r="AF56" s="1744"/>
      <c r="AG56" s="1744"/>
      <c r="AH56" s="1744"/>
      <c r="AI56" s="1744"/>
      <c r="AJ56" s="1744"/>
      <c r="AK56" s="1744"/>
      <c r="AL56" s="1744"/>
      <c r="AM56" s="1744"/>
      <c r="AN56" s="1744"/>
      <c r="AO56" s="1744"/>
      <c r="AP56" s="1744"/>
      <c r="AQ56" s="1744"/>
      <c r="AR56" s="1744"/>
      <c r="AS56" s="1744"/>
      <c r="AT56" s="1744"/>
      <c r="AU56" s="1744"/>
      <c r="AV56" s="1744"/>
      <c r="AW56" s="1744"/>
      <c r="AX56" s="1744"/>
      <c r="AY56" s="1744"/>
      <c r="AZ56" s="1744"/>
      <c r="BA56" s="1744"/>
      <c r="BB56" s="1744"/>
      <c r="BC56" s="1744"/>
      <c r="BD56" s="1744"/>
      <c r="BE56" s="1744"/>
      <c r="BF56" s="1744"/>
      <c r="BG56" s="1744"/>
      <c r="BH56" s="1744"/>
      <c r="BI56" s="1744"/>
      <c r="BJ56" s="1744"/>
      <c r="BK56" s="1744"/>
      <c r="BL56" s="1744"/>
      <c r="BM56" s="1744"/>
      <c r="BN56" s="1744"/>
      <c r="BO56" s="1744"/>
      <c r="BP56" s="1744"/>
      <c r="BQ56" s="1744"/>
      <c r="BR56" s="1744"/>
      <c r="BS56" s="1744"/>
      <c r="BT56" s="1744"/>
      <c r="BU56" s="1744"/>
      <c r="BV56" s="1744"/>
      <c r="BW56" s="1744"/>
      <c r="BX56" s="1744"/>
      <c r="BY56" s="1744"/>
      <c r="BZ56" s="1744"/>
      <c r="CA56" s="1744"/>
      <c r="CB56" s="1744"/>
      <c r="CC56" s="1744"/>
      <c r="CD56" s="1744"/>
      <c r="CE56" s="1744"/>
      <c r="CF56" s="1744"/>
      <c r="CG56" s="1744"/>
      <c r="CH56" s="1744"/>
      <c r="CI56" s="1744"/>
    </row>
    <row r="57" spans="1:87" s="66" customFormat="1" ht="15" customHeight="1" thickBot="1" x14ac:dyDescent="0.25">
      <c r="A57" s="1968"/>
      <c r="B57" s="1916" t="s">
        <v>1737</v>
      </c>
      <c r="C57" s="1917"/>
      <c r="D57" s="1917"/>
      <c r="E57" s="1926"/>
      <c r="F57" s="703"/>
      <c r="G57" s="1158"/>
      <c r="H57" s="1744"/>
      <c r="I57" s="1744"/>
      <c r="J57" s="1744"/>
      <c r="K57" s="1744"/>
      <c r="L57" s="1744"/>
      <c r="M57" s="1744"/>
      <c r="N57" s="1744"/>
      <c r="O57" s="1744"/>
      <c r="P57" s="1744"/>
      <c r="Q57" s="1744"/>
      <c r="R57" s="1744"/>
      <c r="S57" s="1744"/>
      <c r="T57" s="1744"/>
      <c r="U57" s="1744"/>
      <c r="V57" s="1744"/>
      <c r="W57" s="1744"/>
      <c r="X57" s="1744"/>
      <c r="Y57" s="1744"/>
      <c r="Z57" s="1744"/>
      <c r="AA57" s="1744"/>
      <c r="AB57" s="1744"/>
      <c r="AC57" s="1744"/>
      <c r="AD57" s="1744"/>
      <c r="AE57" s="1744"/>
      <c r="AF57" s="1744"/>
      <c r="AG57" s="1744"/>
      <c r="AH57" s="1744"/>
      <c r="AI57" s="1744"/>
      <c r="AJ57" s="1744"/>
      <c r="AK57" s="1744"/>
      <c r="AL57" s="1744"/>
      <c r="AM57" s="1744"/>
      <c r="AN57" s="1744"/>
      <c r="AO57" s="1744"/>
      <c r="AP57" s="1744"/>
      <c r="AQ57" s="1744"/>
      <c r="AR57" s="1744"/>
      <c r="AS57" s="1744"/>
      <c r="AT57" s="1744"/>
      <c r="AU57" s="1744"/>
      <c r="AV57" s="1744"/>
      <c r="AW57" s="1744"/>
      <c r="AX57" s="1744"/>
      <c r="AY57" s="1744"/>
      <c r="AZ57" s="1744"/>
      <c r="BA57" s="1744"/>
      <c r="BB57" s="1744"/>
      <c r="BC57" s="1744"/>
      <c r="BD57" s="1744"/>
      <c r="BE57" s="1744"/>
      <c r="BF57" s="1744"/>
      <c r="BG57" s="1744"/>
      <c r="BH57" s="1744"/>
      <c r="BI57" s="1744"/>
      <c r="BJ57" s="1744"/>
      <c r="BK57" s="1744"/>
      <c r="BL57" s="1744"/>
      <c r="BM57" s="1744"/>
      <c r="BN57" s="1744"/>
      <c r="BO57" s="1744"/>
      <c r="BP57" s="1744"/>
      <c r="BQ57" s="1744"/>
      <c r="BR57" s="1744"/>
      <c r="BS57" s="1744"/>
      <c r="BT57" s="1744"/>
      <c r="BU57" s="1744"/>
      <c r="BV57" s="1744"/>
      <c r="BW57" s="1744"/>
      <c r="BX57" s="1744"/>
      <c r="BY57" s="1744"/>
      <c r="BZ57" s="1744"/>
      <c r="CA57" s="1744"/>
      <c r="CB57" s="1744"/>
      <c r="CC57" s="1744"/>
      <c r="CD57" s="1744"/>
      <c r="CE57" s="1744"/>
      <c r="CF57" s="1744"/>
      <c r="CG57" s="1744"/>
      <c r="CH57" s="1744"/>
      <c r="CI57" s="1744"/>
    </row>
    <row r="58" spans="1:87" s="66" customFormat="1" ht="15" customHeight="1" thickBot="1" x14ac:dyDescent="0.25">
      <c r="A58" s="1968"/>
      <c r="B58" s="1916" t="s">
        <v>1738</v>
      </c>
      <c r="C58" s="1917"/>
      <c r="D58" s="1917"/>
      <c r="E58" s="1926"/>
      <c r="F58" s="703"/>
      <c r="G58" s="1158"/>
      <c r="H58" s="1744"/>
      <c r="I58" s="1744"/>
      <c r="J58" s="1744"/>
      <c r="K58" s="1744"/>
      <c r="L58" s="1744"/>
      <c r="M58" s="1744"/>
      <c r="N58" s="1744"/>
      <c r="O58" s="1744"/>
      <c r="P58" s="1744"/>
      <c r="Q58" s="1744"/>
      <c r="R58" s="1744"/>
      <c r="S58" s="1744"/>
      <c r="T58" s="1744"/>
      <c r="U58" s="1744"/>
      <c r="V58" s="1744"/>
      <c r="W58" s="1744"/>
      <c r="X58" s="1744"/>
      <c r="Y58" s="1744"/>
      <c r="Z58" s="1744"/>
      <c r="AA58" s="1744"/>
      <c r="AB58" s="1744"/>
      <c r="AC58" s="1744"/>
      <c r="AD58" s="1744"/>
      <c r="AE58" s="1744"/>
      <c r="AF58" s="1744"/>
      <c r="AG58" s="1744"/>
      <c r="AH58" s="1744"/>
      <c r="AI58" s="1744"/>
      <c r="AJ58" s="1744"/>
      <c r="AK58" s="1744"/>
      <c r="AL58" s="1744"/>
      <c r="AM58" s="1744"/>
      <c r="AN58" s="1744"/>
      <c r="AO58" s="1744"/>
      <c r="AP58" s="1744"/>
      <c r="AQ58" s="1744"/>
      <c r="AR58" s="1744"/>
      <c r="AS58" s="1744"/>
      <c r="AT58" s="1744"/>
      <c r="AU58" s="1744"/>
      <c r="AV58" s="1744"/>
      <c r="AW58" s="1744"/>
      <c r="AX58" s="1744"/>
      <c r="AY58" s="1744"/>
      <c r="AZ58" s="1744"/>
      <c r="BA58" s="1744"/>
      <c r="BB58" s="1744"/>
      <c r="BC58" s="1744"/>
      <c r="BD58" s="1744"/>
      <c r="BE58" s="1744"/>
      <c r="BF58" s="1744"/>
      <c r="BG58" s="1744"/>
      <c r="BH58" s="1744"/>
      <c r="BI58" s="1744"/>
      <c r="BJ58" s="1744"/>
      <c r="BK58" s="1744"/>
      <c r="BL58" s="1744"/>
      <c r="BM58" s="1744"/>
      <c r="BN58" s="1744"/>
      <c r="BO58" s="1744"/>
      <c r="BP58" s="1744"/>
      <c r="BQ58" s="1744"/>
      <c r="BR58" s="1744"/>
      <c r="BS58" s="1744"/>
      <c r="BT58" s="1744"/>
      <c r="BU58" s="1744"/>
      <c r="BV58" s="1744"/>
      <c r="BW58" s="1744"/>
      <c r="BX58" s="1744"/>
      <c r="BY58" s="1744"/>
      <c r="BZ58" s="1744"/>
      <c r="CA58" s="1744"/>
      <c r="CB58" s="1744"/>
      <c r="CC58" s="1744"/>
      <c r="CD58" s="1744"/>
      <c r="CE58" s="1744"/>
      <c r="CF58" s="1744"/>
      <c r="CG58" s="1744"/>
      <c r="CH58" s="1744"/>
      <c r="CI58" s="1744"/>
    </row>
    <row r="59" spans="1:87" s="66" customFormat="1" ht="15" customHeight="1" thickBot="1" x14ac:dyDescent="0.25">
      <c r="A59" s="1968"/>
      <c r="B59" s="1916" t="s">
        <v>1739</v>
      </c>
      <c r="C59" s="1917"/>
      <c r="D59" s="1917"/>
      <c r="E59" s="1926"/>
      <c r="F59" s="703"/>
      <c r="G59" s="1158"/>
      <c r="H59" s="1744"/>
      <c r="I59" s="1744"/>
      <c r="J59" s="1744"/>
      <c r="K59" s="1744"/>
      <c r="L59" s="1744"/>
      <c r="M59" s="1744"/>
      <c r="N59" s="1744"/>
      <c r="O59" s="1744"/>
      <c r="P59" s="1744"/>
      <c r="Q59" s="1744"/>
      <c r="R59" s="1744"/>
      <c r="S59" s="1744"/>
      <c r="T59" s="1744"/>
      <c r="U59" s="1744"/>
      <c r="V59" s="1744"/>
      <c r="W59" s="1744"/>
      <c r="X59" s="1744"/>
      <c r="Y59" s="1744"/>
      <c r="Z59" s="1744"/>
      <c r="AA59" s="1744"/>
      <c r="AB59" s="1744"/>
      <c r="AC59" s="1744"/>
      <c r="AD59" s="1744"/>
      <c r="AE59" s="1744"/>
      <c r="AF59" s="1744"/>
      <c r="AG59" s="1744"/>
      <c r="AH59" s="1744"/>
      <c r="AI59" s="1744"/>
      <c r="AJ59" s="1744"/>
      <c r="AK59" s="1744"/>
      <c r="AL59" s="1744"/>
      <c r="AM59" s="1744"/>
      <c r="AN59" s="1744"/>
      <c r="AO59" s="1744"/>
      <c r="AP59" s="1744"/>
      <c r="AQ59" s="1744"/>
      <c r="AR59" s="1744"/>
      <c r="AS59" s="1744"/>
      <c r="AT59" s="1744"/>
      <c r="AU59" s="1744"/>
      <c r="AV59" s="1744"/>
      <c r="AW59" s="1744"/>
      <c r="AX59" s="1744"/>
      <c r="AY59" s="1744"/>
      <c r="AZ59" s="1744"/>
      <c r="BA59" s="1744"/>
      <c r="BB59" s="1744"/>
      <c r="BC59" s="1744"/>
      <c r="BD59" s="1744"/>
      <c r="BE59" s="1744"/>
      <c r="BF59" s="1744"/>
      <c r="BG59" s="1744"/>
      <c r="BH59" s="1744"/>
      <c r="BI59" s="1744"/>
      <c r="BJ59" s="1744"/>
      <c r="BK59" s="1744"/>
      <c r="BL59" s="1744"/>
      <c r="BM59" s="1744"/>
      <c r="BN59" s="1744"/>
      <c r="BO59" s="1744"/>
      <c r="BP59" s="1744"/>
      <c r="BQ59" s="1744"/>
      <c r="BR59" s="1744"/>
      <c r="BS59" s="1744"/>
      <c r="BT59" s="1744"/>
      <c r="BU59" s="1744"/>
      <c r="BV59" s="1744"/>
      <c r="BW59" s="1744"/>
      <c r="BX59" s="1744"/>
      <c r="BY59" s="1744"/>
      <c r="BZ59" s="1744"/>
      <c r="CA59" s="1744"/>
      <c r="CB59" s="1744"/>
      <c r="CC59" s="1744"/>
      <c r="CD59" s="1744"/>
      <c r="CE59" s="1744"/>
      <c r="CF59" s="1744"/>
      <c r="CG59" s="1744"/>
      <c r="CH59" s="1744"/>
      <c r="CI59" s="1744"/>
    </row>
    <row r="60" spans="1:87" s="66" customFormat="1" ht="15" customHeight="1" thickBot="1" x14ac:dyDescent="0.25">
      <c r="A60" s="1968"/>
      <c r="B60" s="1916" t="s">
        <v>1740</v>
      </c>
      <c r="C60" s="1917"/>
      <c r="D60" s="1917"/>
      <c r="E60" s="1926"/>
      <c r="F60" s="703"/>
      <c r="G60" s="1158"/>
      <c r="H60" s="1744"/>
      <c r="I60" s="1744"/>
      <c r="J60" s="1744"/>
      <c r="K60" s="1744"/>
      <c r="L60" s="1744"/>
      <c r="M60" s="1744"/>
      <c r="N60" s="1744"/>
      <c r="O60" s="1744"/>
      <c r="P60" s="1744"/>
      <c r="Q60" s="1744"/>
      <c r="R60" s="1744"/>
      <c r="S60" s="1744"/>
      <c r="T60" s="1744"/>
      <c r="U60" s="1744"/>
      <c r="V60" s="1744"/>
      <c r="W60" s="1744"/>
      <c r="X60" s="1744"/>
      <c r="Y60" s="1744"/>
      <c r="Z60" s="1744"/>
      <c r="AA60" s="1744"/>
      <c r="AB60" s="1744"/>
      <c r="AC60" s="1744"/>
      <c r="AD60" s="1744"/>
      <c r="AE60" s="1744"/>
      <c r="AF60" s="1744"/>
      <c r="AG60" s="1744"/>
      <c r="AH60" s="1744"/>
      <c r="AI60" s="1744"/>
      <c r="AJ60" s="1744"/>
      <c r="AK60" s="1744"/>
      <c r="AL60" s="1744"/>
      <c r="AM60" s="1744"/>
      <c r="AN60" s="1744"/>
      <c r="AO60" s="1744"/>
      <c r="AP60" s="1744"/>
      <c r="AQ60" s="1744"/>
      <c r="AR60" s="1744"/>
      <c r="AS60" s="1744"/>
      <c r="AT60" s="1744"/>
      <c r="AU60" s="1744"/>
      <c r="AV60" s="1744"/>
      <c r="AW60" s="1744"/>
      <c r="AX60" s="1744"/>
      <c r="AY60" s="1744"/>
      <c r="AZ60" s="1744"/>
      <c r="BA60" s="1744"/>
      <c r="BB60" s="1744"/>
      <c r="BC60" s="1744"/>
      <c r="BD60" s="1744"/>
      <c r="BE60" s="1744"/>
      <c r="BF60" s="1744"/>
      <c r="BG60" s="1744"/>
      <c r="BH60" s="1744"/>
      <c r="BI60" s="1744"/>
      <c r="BJ60" s="1744"/>
      <c r="BK60" s="1744"/>
      <c r="BL60" s="1744"/>
      <c r="BM60" s="1744"/>
      <c r="BN60" s="1744"/>
      <c r="BO60" s="1744"/>
      <c r="BP60" s="1744"/>
      <c r="BQ60" s="1744"/>
      <c r="BR60" s="1744"/>
      <c r="BS60" s="1744"/>
      <c r="BT60" s="1744"/>
      <c r="BU60" s="1744"/>
      <c r="BV60" s="1744"/>
      <c r="BW60" s="1744"/>
      <c r="BX60" s="1744"/>
      <c r="BY60" s="1744"/>
      <c r="BZ60" s="1744"/>
      <c r="CA60" s="1744"/>
      <c r="CB60" s="1744"/>
      <c r="CC60" s="1744"/>
      <c r="CD60" s="1744"/>
      <c r="CE60" s="1744"/>
      <c r="CF60" s="1744"/>
      <c r="CG60" s="1744"/>
      <c r="CH60" s="1744"/>
      <c r="CI60" s="1744"/>
    </row>
    <row r="61" spans="1:87" s="66" customFormat="1" ht="15" customHeight="1" thickBot="1" x14ac:dyDescent="0.25">
      <c r="A61" s="1968"/>
      <c r="B61" s="1916" t="s">
        <v>1741</v>
      </c>
      <c r="C61" s="1917"/>
      <c r="D61" s="1917"/>
      <c r="E61" s="1926"/>
      <c r="F61" s="703"/>
      <c r="G61" s="1158"/>
      <c r="H61" s="1744"/>
      <c r="I61" s="1744"/>
      <c r="J61" s="1744"/>
      <c r="K61" s="1744"/>
      <c r="L61" s="1744"/>
      <c r="M61" s="1744"/>
      <c r="N61" s="1744"/>
      <c r="O61" s="1744"/>
      <c r="P61" s="1744"/>
      <c r="Q61" s="1744"/>
      <c r="R61" s="1744"/>
      <c r="S61" s="1744"/>
      <c r="T61" s="1744"/>
      <c r="U61" s="1744"/>
      <c r="V61" s="1744"/>
      <c r="W61" s="1744"/>
      <c r="X61" s="1744"/>
      <c r="Y61" s="1744"/>
      <c r="Z61" s="1744"/>
      <c r="AA61" s="1744"/>
      <c r="AB61" s="1744"/>
      <c r="AC61" s="1744"/>
      <c r="AD61" s="1744"/>
      <c r="AE61" s="1744"/>
      <c r="AF61" s="1744"/>
      <c r="AG61" s="1744"/>
      <c r="AH61" s="1744"/>
      <c r="AI61" s="1744"/>
      <c r="AJ61" s="1744"/>
      <c r="AK61" s="1744"/>
      <c r="AL61" s="1744"/>
      <c r="AM61" s="1744"/>
      <c r="AN61" s="1744"/>
      <c r="AO61" s="1744"/>
      <c r="AP61" s="1744"/>
      <c r="AQ61" s="1744"/>
      <c r="AR61" s="1744"/>
      <c r="AS61" s="1744"/>
      <c r="AT61" s="1744"/>
      <c r="AU61" s="1744"/>
      <c r="AV61" s="1744"/>
      <c r="AW61" s="1744"/>
      <c r="AX61" s="1744"/>
      <c r="AY61" s="1744"/>
      <c r="AZ61" s="1744"/>
      <c r="BA61" s="1744"/>
      <c r="BB61" s="1744"/>
      <c r="BC61" s="1744"/>
      <c r="BD61" s="1744"/>
      <c r="BE61" s="1744"/>
      <c r="BF61" s="1744"/>
      <c r="BG61" s="1744"/>
      <c r="BH61" s="1744"/>
      <c r="BI61" s="1744"/>
      <c r="BJ61" s="1744"/>
      <c r="BK61" s="1744"/>
      <c r="BL61" s="1744"/>
      <c r="BM61" s="1744"/>
      <c r="BN61" s="1744"/>
      <c r="BO61" s="1744"/>
      <c r="BP61" s="1744"/>
      <c r="BQ61" s="1744"/>
      <c r="BR61" s="1744"/>
      <c r="BS61" s="1744"/>
      <c r="BT61" s="1744"/>
      <c r="BU61" s="1744"/>
      <c r="BV61" s="1744"/>
      <c r="BW61" s="1744"/>
      <c r="BX61" s="1744"/>
      <c r="BY61" s="1744"/>
      <c r="BZ61" s="1744"/>
      <c r="CA61" s="1744"/>
      <c r="CB61" s="1744"/>
      <c r="CC61" s="1744"/>
      <c r="CD61" s="1744"/>
      <c r="CE61" s="1744"/>
      <c r="CF61" s="1744"/>
      <c r="CG61" s="1744"/>
      <c r="CH61" s="1744"/>
      <c r="CI61" s="1744"/>
    </row>
    <row r="62" spans="1:87" s="66" customFormat="1" ht="15" customHeight="1" thickBot="1" x14ac:dyDescent="0.25">
      <c r="A62" s="1968"/>
      <c r="B62" s="1916" t="s">
        <v>1742</v>
      </c>
      <c r="C62" s="1917"/>
      <c r="D62" s="1917"/>
      <c r="E62" s="1926"/>
      <c r="F62" s="703"/>
      <c r="G62" s="1158"/>
      <c r="H62" s="1744"/>
      <c r="I62" s="1744"/>
      <c r="J62" s="1744"/>
      <c r="K62" s="1744"/>
      <c r="L62" s="1744"/>
      <c r="M62" s="1744"/>
      <c r="N62" s="1744"/>
      <c r="O62" s="1744"/>
      <c r="P62" s="1744"/>
      <c r="Q62" s="1744"/>
      <c r="R62" s="1744"/>
      <c r="S62" s="1744"/>
      <c r="T62" s="1744"/>
      <c r="U62" s="1744"/>
      <c r="V62" s="1744"/>
      <c r="W62" s="1744"/>
      <c r="X62" s="1744"/>
      <c r="Y62" s="1744"/>
      <c r="Z62" s="1744"/>
      <c r="AA62" s="1744"/>
      <c r="AB62" s="1744"/>
      <c r="AC62" s="1744"/>
      <c r="AD62" s="1744"/>
      <c r="AE62" s="1744"/>
      <c r="AF62" s="1744"/>
      <c r="AG62" s="1744"/>
      <c r="AH62" s="1744"/>
      <c r="AI62" s="1744"/>
      <c r="AJ62" s="1744"/>
      <c r="AK62" s="1744"/>
      <c r="AL62" s="1744"/>
      <c r="AM62" s="1744"/>
      <c r="AN62" s="1744"/>
      <c r="AO62" s="1744"/>
      <c r="AP62" s="1744"/>
      <c r="AQ62" s="1744"/>
      <c r="AR62" s="1744"/>
      <c r="AS62" s="1744"/>
      <c r="AT62" s="1744"/>
      <c r="AU62" s="1744"/>
      <c r="AV62" s="1744"/>
      <c r="AW62" s="1744"/>
      <c r="AX62" s="1744"/>
      <c r="AY62" s="1744"/>
      <c r="AZ62" s="1744"/>
      <c r="BA62" s="1744"/>
      <c r="BB62" s="1744"/>
      <c r="BC62" s="1744"/>
      <c r="BD62" s="1744"/>
      <c r="BE62" s="1744"/>
      <c r="BF62" s="1744"/>
      <c r="BG62" s="1744"/>
      <c r="BH62" s="1744"/>
      <c r="BI62" s="1744"/>
      <c r="BJ62" s="1744"/>
      <c r="BK62" s="1744"/>
      <c r="BL62" s="1744"/>
      <c r="BM62" s="1744"/>
      <c r="BN62" s="1744"/>
      <c r="BO62" s="1744"/>
      <c r="BP62" s="1744"/>
      <c r="BQ62" s="1744"/>
      <c r="BR62" s="1744"/>
      <c r="BS62" s="1744"/>
      <c r="BT62" s="1744"/>
      <c r="BU62" s="1744"/>
      <c r="BV62" s="1744"/>
      <c r="BW62" s="1744"/>
      <c r="BX62" s="1744"/>
      <c r="BY62" s="1744"/>
      <c r="BZ62" s="1744"/>
      <c r="CA62" s="1744"/>
      <c r="CB62" s="1744"/>
      <c r="CC62" s="1744"/>
      <c r="CD62" s="1744"/>
      <c r="CE62" s="1744"/>
      <c r="CF62" s="1744"/>
      <c r="CG62" s="1744"/>
      <c r="CH62" s="1744"/>
      <c r="CI62" s="1744"/>
    </row>
    <row r="63" spans="1:87" s="66" customFormat="1" ht="39" customHeight="1" thickBot="1" x14ac:dyDescent="0.25">
      <c r="A63" s="1968"/>
      <c r="B63" s="1927" t="s">
        <v>1323</v>
      </c>
      <c r="C63" s="1962"/>
      <c r="D63" s="1962"/>
      <c r="E63" s="1963"/>
      <c r="F63" s="707"/>
      <c r="G63" s="1156"/>
      <c r="H63" s="1748"/>
      <c r="I63" s="1748"/>
      <c r="J63" s="1748"/>
      <c r="K63" s="1748"/>
      <c r="L63" s="1748"/>
      <c r="M63" s="1748"/>
      <c r="N63" s="1748"/>
      <c r="O63" s="1748"/>
      <c r="P63" s="1748"/>
      <c r="Q63" s="1748"/>
      <c r="R63" s="1748"/>
      <c r="S63" s="1748"/>
      <c r="T63" s="1748"/>
      <c r="U63" s="1748"/>
      <c r="V63" s="1748"/>
      <c r="W63" s="1748"/>
      <c r="X63" s="1748"/>
      <c r="Y63" s="1748"/>
      <c r="Z63" s="1748"/>
      <c r="AA63" s="1748"/>
      <c r="AB63" s="1748"/>
      <c r="AC63" s="1748"/>
      <c r="AD63" s="1748"/>
      <c r="AE63" s="1748"/>
      <c r="AF63" s="1748"/>
      <c r="AG63" s="1748"/>
      <c r="AH63" s="1748"/>
      <c r="AI63" s="1748"/>
      <c r="AJ63" s="1748"/>
      <c r="AK63" s="1748"/>
      <c r="AL63" s="1748"/>
      <c r="AM63" s="1748"/>
      <c r="AN63" s="1748"/>
      <c r="AO63" s="1748"/>
      <c r="AP63" s="1748"/>
      <c r="AQ63" s="1748"/>
      <c r="AR63" s="1748"/>
      <c r="AS63" s="1748"/>
      <c r="AT63" s="1748"/>
      <c r="AU63" s="1748"/>
      <c r="AV63" s="1748"/>
      <c r="AW63" s="1748"/>
      <c r="AX63" s="1748"/>
      <c r="AY63" s="1748"/>
      <c r="AZ63" s="1748"/>
      <c r="BA63" s="1748"/>
      <c r="BB63" s="1748"/>
      <c r="BC63" s="1748"/>
      <c r="BD63" s="1748"/>
      <c r="BE63" s="1748"/>
      <c r="BF63" s="1748"/>
      <c r="BG63" s="1748"/>
      <c r="BH63" s="1748"/>
      <c r="BI63" s="1748"/>
      <c r="BJ63" s="1748"/>
      <c r="BK63" s="1748"/>
      <c r="BL63" s="1748"/>
      <c r="BM63" s="1748"/>
      <c r="BN63" s="1748"/>
      <c r="BO63" s="1748"/>
      <c r="BP63" s="1748"/>
      <c r="BQ63" s="1748"/>
      <c r="BR63" s="1748"/>
      <c r="BS63" s="1748"/>
      <c r="BT63" s="1748"/>
      <c r="BU63" s="1748"/>
      <c r="BV63" s="1748"/>
      <c r="BW63" s="1748"/>
      <c r="BX63" s="1748"/>
      <c r="BY63" s="1748"/>
      <c r="BZ63" s="1748"/>
      <c r="CA63" s="1748"/>
      <c r="CB63" s="1748"/>
      <c r="CC63" s="1748"/>
      <c r="CD63" s="1748"/>
      <c r="CE63" s="1748"/>
      <c r="CF63" s="1748"/>
      <c r="CG63" s="1748"/>
      <c r="CH63" s="1748"/>
      <c r="CI63" s="1748"/>
    </row>
    <row r="64" spans="1:87" s="66" customFormat="1" ht="18" customHeight="1" thickBot="1" x14ac:dyDescent="0.25">
      <c r="A64" s="1968"/>
      <c r="B64" s="1207"/>
      <c r="C64" s="1197" t="s">
        <v>10</v>
      </c>
      <c r="D64" s="1197" t="s">
        <v>11</v>
      </c>
      <c r="E64" s="1198" t="s">
        <v>12</v>
      </c>
      <c r="F64" s="707"/>
      <c r="G64" s="1156"/>
      <c r="H64" s="1748"/>
      <c r="I64" s="1748"/>
      <c r="J64" s="1748"/>
      <c r="K64" s="1748"/>
      <c r="L64" s="1748"/>
      <c r="M64" s="1748"/>
      <c r="N64" s="1748"/>
      <c r="O64" s="1748"/>
      <c r="P64" s="1748"/>
      <c r="Q64" s="1748"/>
      <c r="R64" s="1748"/>
      <c r="S64" s="1748"/>
      <c r="T64" s="1748"/>
      <c r="U64" s="1748"/>
      <c r="V64" s="1748"/>
      <c r="W64" s="1748"/>
      <c r="X64" s="1748"/>
      <c r="Y64" s="1748"/>
      <c r="Z64" s="1748"/>
      <c r="AA64" s="1748"/>
      <c r="AB64" s="1748"/>
      <c r="AC64" s="1748"/>
      <c r="AD64" s="1748"/>
      <c r="AE64" s="1748"/>
      <c r="AF64" s="1748"/>
      <c r="AG64" s="1748"/>
      <c r="AH64" s="1748"/>
      <c r="AI64" s="1748"/>
      <c r="AJ64" s="1748"/>
      <c r="AK64" s="1748"/>
      <c r="AL64" s="1748"/>
      <c r="AM64" s="1748"/>
      <c r="AN64" s="1748"/>
      <c r="AO64" s="1748"/>
      <c r="AP64" s="1748"/>
      <c r="AQ64" s="1748"/>
      <c r="AR64" s="1748"/>
      <c r="AS64" s="1748"/>
      <c r="AT64" s="1748"/>
      <c r="AU64" s="1748"/>
      <c r="AV64" s="1748"/>
      <c r="AW64" s="1748"/>
      <c r="AX64" s="1748"/>
      <c r="AY64" s="1748"/>
      <c r="AZ64" s="1748"/>
      <c r="BA64" s="1748"/>
      <c r="BB64" s="1748"/>
      <c r="BC64" s="1748"/>
      <c r="BD64" s="1748"/>
      <c r="BE64" s="1748"/>
      <c r="BF64" s="1748"/>
      <c r="BG64" s="1748"/>
      <c r="BH64" s="1748"/>
      <c r="BI64" s="1748"/>
      <c r="BJ64" s="1748"/>
      <c r="BK64" s="1748"/>
      <c r="BL64" s="1748"/>
      <c r="BM64" s="1748"/>
      <c r="BN64" s="1748"/>
      <c r="BO64" s="1748"/>
      <c r="BP64" s="1748"/>
      <c r="BQ64" s="1748"/>
      <c r="BR64" s="1748"/>
      <c r="BS64" s="1748"/>
      <c r="BT64" s="1748"/>
      <c r="BU64" s="1748"/>
      <c r="BV64" s="1748"/>
      <c r="BW64" s="1748"/>
      <c r="BX64" s="1748"/>
      <c r="BY64" s="1748"/>
      <c r="BZ64" s="1748"/>
      <c r="CA64" s="1748"/>
      <c r="CB64" s="1748"/>
      <c r="CC64" s="1748"/>
      <c r="CD64" s="1748"/>
      <c r="CE64" s="1748"/>
      <c r="CF64" s="1748"/>
      <c r="CG64" s="1748"/>
      <c r="CH64" s="1748"/>
      <c r="CI64" s="1748"/>
    </row>
    <row r="65" spans="1:87" s="66" customFormat="1" ht="27" customHeight="1" thickBot="1" x14ac:dyDescent="0.25">
      <c r="A65" s="1968"/>
      <c r="B65" s="1199" t="s">
        <v>42</v>
      </c>
      <c r="C65" s="1200" t="s">
        <v>6</v>
      </c>
      <c r="D65" s="1200" t="s">
        <v>7</v>
      </c>
      <c r="E65" s="1201" t="s">
        <v>8</v>
      </c>
      <c r="F65" s="704">
        <v>0</v>
      </c>
      <c r="G65" s="1163"/>
      <c r="H65" s="1745">
        <v>0</v>
      </c>
      <c r="I65" s="1745">
        <v>0</v>
      </c>
      <c r="J65" s="1745">
        <v>0</v>
      </c>
      <c r="K65" s="1745">
        <v>0</v>
      </c>
      <c r="L65" s="1745">
        <v>0</v>
      </c>
      <c r="M65" s="1745">
        <v>0</v>
      </c>
      <c r="N65" s="1745">
        <v>0</v>
      </c>
      <c r="O65" s="1745">
        <v>0</v>
      </c>
      <c r="P65" s="1745">
        <v>0</v>
      </c>
      <c r="Q65" s="1745">
        <v>0</v>
      </c>
      <c r="R65" s="1745">
        <v>0</v>
      </c>
      <c r="S65" s="1745">
        <v>0</v>
      </c>
      <c r="T65" s="1745">
        <v>0</v>
      </c>
      <c r="U65" s="1745">
        <v>0</v>
      </c>
      <c r="V65" s="1745">
        <v>0</v>
      </c>
      <c r="W65" s="1745">
        <v>0</v>
      </c>
      <c r="X65" s="1745">
        <v>0</v>
      </c>
      <c r="Y65" s="1745">
        <v>0</v>
      </c>
      <c r="Z65" s="1745">
        <v>0</v>
      </c>
      <c r="AA65" s="1745">
        <v>0</v>
      </c>
      <c r="AB65" s="1745">
        <v>0</v>
      </c>
      <c r="AC65" s="1745">
        <v>0</v>
      </c>
      <c r="AD65" s="1745">
        <v>0</v>
      </c>
      <c r="AE65" s="1745">
        <v>0</v>
      </c>
      <c r="AF65" s="1745">
        <v>0</v>
      </c>
      <c r="AG65" s="1745">
        <v>0</v>
      </c>
      <c r="AH65" s="1745">
        <v>0</v>
      </c>
      <c r="AI65" s="1745">
        <v>0</v>
      </c>
      <c r="AJ65" s="1745">
        <v>0</v>
      </c>
      <c r="AK65" s="1745">
        <v>0</v>
      </c>
      <c r="AL65" s="1745">
        <v>0</v>
      </c>
      <c r="AM65" s="1745">
        <v>0</v>
      </c>
      <c r="AN65" s="1745">
        <v>0</v>
      </c>
      <c r="AO65" s="1745">
        <v>0</v>
      </c>
      <c r="AP65" s="1745">
        <v>0</v>
      </c>
      <c r="AQ65" s="1745">
        <v>0</v>
      </c>
      <c r="AR65" s="1745">
        <v>0</v>
      </c>
      <c r="AS65" s="1745">
        <v>0</v>
      </c>
      <c r="AT65" s="1745">
        <v>0</v>
      </c>
      <c r="AU65" s="1745">
        <v>0</v>
      </c>
      <c r="AV65" s="1745">
        <v>0</v>
      </c>
      <c r="AW65" s="1745">
        <v>0</v>
      </c>
      <c r="AX65" s="1745">
        <v>0</v>
      </c>
      <c r="AY65" s="1745">
        <v>0</v>
      </c>
      <c r="AZ65" s="1745">
        <v>0</v>
      </c>
      <c r="BA65" s="1745">
        <v>0</v>
      </c>
      <c r="BB65" s="1745">
        <v>0</v>
      </c>
      <c r="BC65" s="1745">
        <v>0</v>
      </c>
      <c r="BD65" s="1745">
        <v>0</v>
      </c>
      <c r="BE65" s="1745">
        <v>0</v>
      </c>
      <c r="BF65" s="1745">
        <v>0</v>
      </c>
      <c r="BG65" s="1745">
        <v>0</v>
      </c>
      <c r="BH65" s="1745">
        <v>0</v>
      </c>
      <c r="BI65" s="1745">
        <v>0</v>
      </c>
      <c r="BJ65" s="1745">
        <v>0</v>
      </c>
      <c r="BK65" s="1745">
        <v>0</v>
      </c>
      <c r="BL65" s="1745">
        <v>0</v>
      </c>
      <c r="BM65" s="1745">
        <v>0</v>
      </c>
      <c r="BN65" s="1745">
        <v>0</v>
      </c>
      <c r="BO65" s="1745">
        <v>0</v>
      </c>
      <c r="BP65" s="1745">
        <v>0</v>
      </c>
      <c r="BQ65" s="1745">
        <v>0</v>
      </c>
      <c r="BR65" s="1745">
        <v>0</v>
      </c>
      <c r="BS65" s="1745">
        <v>0</v>
      </c>
      <c r="BT65" s="1745">
        <v>0</v>
      </c>
      <c r="BU65" s="1745">
        <v>0</v>
      </c>
      <c r="BV65" s="1745">
        <v>0</v>
      </c>
      <c r="BW65" s="1745">
        <v>0</v>
      </c>
      <c r="BX65" s="1745">
        <v>0</v>
      </c>
      <c r="BY65" s="1745">
        <v>0</v>
      </c>
      <c r="BZ65" s="1745">
        <v>0</v>
      </c>
      <c r="CA65" s="1745">
        <v>0</v>
      </c>
      <c r="CB65" s="1745">
        <v>0</v>
      </c>
      <c r="CC65" s="1745">
        <v>0</v>
      </c>
      <c r="CD65" s="1745">
        <v>0</v>
      </c>
      <c r="CE65" s="1745">
        <v>0</v>
      </c>
      <c r="CF65" s="1745">
        <v>0</v>
      </c>
      <c r="CG65" s="1745">
        <v>0</v>
      </c>
      <c r="CH65" s="1745">
        <v>0</v>
      </c>
      <c r="CI65" s="1745">
        <v>0</v>
      </c>
    </row>
    <row r="66" spans="1:87" s="66" customFormat="1" ht="15" customHeight="1" thickBot="1" x14ac:dyDescent="0.25">
      <c r="A66" s="1968"/>
      <c r="B66" s="1199" t="s">
        <v>43</v>
      </c>
      <c r="C66" s="1200" t="s">
        <v>44</v>
      </c>
      <c r="D66" s="1200" t="s">
        <v>45</v>
      </c>
      <c r="E66" s="1201" t="s">
        <v>46</v>
      </c>
      <c r="F66" s="704">
        <v>0</v>
      </c>
      <c r="G66" s="1163"/>
      <c r="H66" s="1745">
        <v>0</v>
      </c>
      <c r="I66" s="1745">
        <v>0</v>
      </c>
      <c r="J66" s="1745">
        <v>0</v>
      </c>
      <c r="K66" s="1745">
        <v>0</v>
      </c>
      <c r="L66" s="1745">
        <v>0</v>
      </c>
      <c r="M66" s="1745">
        <v>0</v>
      </c>
      <c r="N66" s="1745">
        <v>0</v>
      </c>
      <c r="O66" s="1745">
        <v>0</v>
      </c>
      <c r="P66" s="1745">
        <v>0</v>
      </c>
      <c r="Q66" s="1745">
        <v>0</v>
      </c>
      <c r="R66" s="1745">
        <v>0</v>
      </c>
      <c r="S66" s="1745">
        <v>0</v>
      </c>
      <c r="T66" s="1745">
        <v>0</v>
      </c>
      <c r="U66" s="1745">
        <v>0</v>
      </c>
      <c r="V66" s="1745">
        <v>0</v>
      </c>
      <c r="W66" s="1745">
        <v>0</v>
      </c>
      <c r="X66" s="1745">
        <v>0</v>
      </c>
      <c r="Y66" s="1745">
        <v>0</v>
      </c>
      <c r="Z66" s="1745">
        <v>0</v>
      </c>
      <c r="AA66" s="1745">
        <v>0</v>
      </c>
      <c r="AB66" s="1745">
        <v>0</v>
      </c>
      <c r="AC66" s="1745">
        <v>0</v>
      </c>
      <c r="AD66" s="1745">
        <v>0</v>
      </c>
      <c r="AE66" s="1745">
        <v>0</v>
      </c>
      <c r="AF66" s="1745">
        <v>0</v>
      </c>
      <c r="AG66" s="1745">
        <v>0</v>
      </c>
      <c r="AH66" s="1745">
        <v>0</v>
      </c>
      <c r="AI66" s="1745">
        <v>0</v>
      </c>
      <c r="AJ66" s="1745">
        <v>0</v>
      </c>
      <c r="AK66" s="1745">
        <v>0</v>
      </c>
      <c r="AL66" s="1745">
        <v>0</v>
      </c>
      <c r="AM66" s="1745">
        <v>0</v>
      </c>
      <c r="AN66" s="1745">
        <v>0</v>
      </c>
      <c r="AO66" s="1745">
        <v>0</v>
      </c>
      <c r="AP66" s="1745">
        <v>0</v>
      </c>
      <c r="AQ66" s="1745">
        <v>0</v>
      </c>
      <c r="AR66" s="1745">
        <v>0</v>
      </c>
      <c r="AS66" s="1745">
        <v>0</v>
      </c>
      <c r="AT66" s="1745">
        <v>0</v>
      </c>
      <c r="AU66" s="1745">
        <v>0</v>
      </c>
      <c r="AV66" s="1745">
        <v>0</v>
      </c>
      <c r="AW66" s="1745">
        <v>0</v>
      </c>
      <c r="AX66" s="1745">
        <v>0</v>
      </c>
      <c r="AY66" s="1745">
        <v>0</v>
      </c>
      <c r="AZ66" s="1745">
        <v>0</v>
      </c>
      <c r="BA66" s="1745">
        <v>0</v>
      </c>
      <c r="BB66" s="1745">
        <v>0</v>
      </c>
      <c r="BC66" s="1745">
        <v>0</v>
      </c>
      <c r="BD66" s="1745">
        <v>0</v>
      </c>
      <c r="BE66" s="1745">
        <v>0</v>
      </c>
      <c r="BF66" s="1745">
        <v>0</v>
      </c>
      <c r="BG66" s="1745">
        <v>0</v>
      </c>
      <c r="BH66" s="1745">
        <v>0</v>
      </c>
      <c r="BI66" s="1745">
        <v>0</v>
      </c>
      <c r="BJ66" s="1745">
        <v>0</v>
      </c>
      <c r="BK66" s="1745">
        <v>0</v>
      </c>
      <c r="BL66" s="1745">
        <v>0</v>
      </c>
      <c r="BM66" s="1745">
        <v>0</v>
      </c>
      <c r="BN66" s="1745">
        <v>0</v>
      </c>
      <c r="BO66" s="1745">
        <v>0</v>
      </c>
      <c r="BP66" s="1745">
        <v>0</v>
      </c>
      <c r="BQ66" s="1745">
        <v>0</v>
      </c>
      <c r="BR66" s="1745">
        <v>0</v>
      </c>
      <c r="BS66" s="1745">
        <v>0</v>
      </c>
      <c r="BT66" s="1745">
        <v>0</v>
      </c>
      <c r="BU66" s="1745">
        <v>0</v>
      </c>
      <c r="BV66" s="1745">
        <v>0</v>
      </c>
      <c r="BW66" s="1745">
        <v>0</v>
      </c>
      <c r="BX66" s="1745">
        <v>0</v>
      </c>
      <c r="BY66" s="1745">
        <v>0</v>
      </c>
      <c r="BZ66" s="1745">
        <v>0</v>
      </c>
      <c r="CA66" s="1745">
        <v>0</v>
      </c>
      <c r="CB66" s="1745">
        <v>0</v>
      </c>
      <c r="CC66" s="1745">
        <v>0</v>
      </c>
      <c r="CD66" s="1745">
        <v>0</v>
      </c>
      <c r="CE66" s="1745">
        <v>0</v>
      </c>
      <c r="CF66" s="1745">
        <v>0</v>
      </c>
      <c r="CG66" s="1745">
        <v>0</v>
      </c>
      <c r="CH66" s="1745">
        <v>0</v>
      </c>
      <c r="CI66" s="1745">
        <v>0</v>
      </c>
    </row>
    <row r="67" spans="1:87" s="66" customFormat="1" ht="15" customHeight="1" thickBot="1" x14ac:dyDescent="0.25">
      <c r="A67" s="1968"/>
      <c r="B67" s="1199" t="s">
        <v>441</v>
      </c>
      <c r="C67" s="1200" t="s">
        <v>69</v>
      </c>
      <c r="D67" s="1200" t="s">
        <v>68</v>
      </c>
      <c r="E67" s="1201" t="s">
        <v>70</v>
      </c>
      <c r="F67" s="704">
        <v>0</v>
      </c>
      <c r="G67" s="1163"/>
      <c r="H67" s="1745">
        <v>0</v>
      </c>
      <c r="I67" s="1745">
        <v>0</v>
      </c>
      <c r="J67" s="1745">
        <v>0</v>
      </c>
      <c r="K67" s="1745">
        <v>0</v>
      </c>
      <c r="L67" s="1745">
        <v>0</v>
      </c>
      <c r="M67" s="1745">
        <v>0</v>
      </c>
      <c r="N67" s="1745">
        <v>0</v>
      </c>
      <c r="O67" s="1745">
        <v>0</v>
      </c>
      <c r="P67" s="1745">
        <v>0</v>
      </c>
      <c r="Q67" s="1745">
        <v>0</v>
      </c>
      <c r="R67" s="1745">
        <v>0</v>
      </c>
      <c r="S67" s="1745">
        <v>0</v>
      </c>
      <c r="T67" s="1745">
        <v>0</v>
      </c>
      <c r="U67" s="1745">
        <v>0</v>
      </c>
      <c r="V67" s="1745">
        <v>0</v>
      </c>
      <c r="W67" s="1745">
        <v>0</v>
      </c>
      <c r="X67" s="1745">
        <v>0</v>
      </c>
      <c r="Y67" s="1745">
        <v>0</v>
      </c>
      <c r="Z67" s="1745">
        <v>0</v>
      </c>
      <c r="AA67" s="1745">
        <v>0</v>
      </c>
      <c r="AB67" s="1745">
        <v>0</v>
      </c>
      <c r="AC67" s="1745">
        <v>0</v>
      </c>
      <c r="AD67" s="1745">
        <v>0</v>
      </c>
      <c r="AE67" s="1745">
        <v>0</v>
      </c>
      <c r="AF67" s="1745">
        <v>0</v>
      </c>
      <c r="AG67" s="1745">
        <v>0</v>
      </c>
      <c r="AH67" s="1745">
        <v>0</v>
      </c>
      <c r="AI67" s="1745">
        <v>0</v>
      </c>
      <c r="AJ67" s="1745">
        <v>0</v>
      </c>
      <c r="AK67" s="1745">
        <v>0</v>
      </c>
      <c r="AL67" s="1745">
        <v>0</v>
      </c>
      <c r="AM67" s="1745">
        <v>0</v>
      </c>
      <c r="AN67" s="1745">
        <v>0</v>
      </c>
      <c r="AO67" s="1745">
        <v>0</v>
      </c>
      <c r="AP67" s="1745">
        <v>0</v>
      </c>
      <c r="AQ67" s="1745">
        <v>0</v>
      </c>
      <c r="AR67" s="1745">
        <v>0</v>
      </c>
      <c r="AS67" s="1745">
        <v>0</v>
      </c>
      <c r="AT67" s="1745">
        <v>0</v>
      </c>
      <c r="AU67" s="1745">
        <v>0</v>
      </c>
      <c r="AV67" s="1745">
        <v>0</v>
      </c>
      <c r="AW67" s="1745">
        <v>0</v>
      </c>
      <c r="AX67" s="1745">
        <v>0</v>
      </c>
      <c r="AY67" s="1745">
        <v>0</v>
      </c>
      <c r="AZ67" s="1745">
        <v>0</v>
      </c>
      <c r="BA67" s="1745">
        <v>0</v>
      </c>
      <c r="BB67" s="1745">
        <v>0</v>
      </c>
      <c r="BC67" s="1745">
        <v>0</v>
      </c>
      <c r="BD67" s="1745">
        <v>0</v>
      </c>
      <c r="BE67" s="1745">
        <v>0</v>
      </c>
      <c r="BF67" s="1745">
        <v>0</v>
      </c>
      <c r="BG67" s="1745">
        <v>0</v>
      </c>
      <c r="BH67" s="1745">
        <v>0</v>
      </c>
      <c r="BI67" s="1745">
        <v>0</v>
      </c>
      <c r="BJ67" s="1745">
        <v>0</v>
      </c>
      <c r="BK67" s="1745">
        <v>0</v>
      </c>
      <c r="BL67" s="1745">
        <v>0</v>
      </c>
      <c r="BM67" s="1745">
        <v>0</v>
      </c>
      <c r="BN67" s="1745">
        <v>0</v>
      </c>
      <c r="BO67" s="1745">
        <v>0</v>
      </c>
      <c r="BP67" s="1745">
        <v>0</v>
      </c>
      <c r="BQ67" s="1745">
        <v>0</v>
      </c>
      <c r="BR67" s="1745">
        <v>0</v>
      </c>
      <c r="BS67" s="1745">
        <v>0</v>
      </c>
      <c r="BT67" s="1745">
        <v>0</v>
      </c>
      <c r="BU67" s="1745">
        <v>0</v>
      </c>
      <c r="BV67" s="1745">
        <v>0</v>
      </c>
      <c r="BW67" s="1745">
        <v>0</v>
      </c>
      <c r="BX67" s="1745">
        <v>0</v>
      </c>
      <c r="BY67" s="1745">
        <v>0</v>
      </c>
      <c r="BZ67" s="1745">
        <v>0</v>
      </c>
      <c r="CA67" s="1745">
        <v>0</v>
      </c>
      <c r="CB67" s="1745">
        <v>0</v>
      </c>
      <c r="CC67" s="1745">
        <v>0</v>
      </c>
      <c r="CD67" s="1745">
        <v>0</v>
      </c>
      <c r="CE67" s="1745">
        <v>0</v>
      </c>
      <c r="CF67" s="1745">
        <v>0</v>
      </c>
      <c r="CG67" s="1745">
        <v>0</v>
      </c>
      <c r="CH67" s="1745">
        <v>0</v>
      </c>
      <c r="CI67" s="1745">
        <v>0</v>
      </c>
    </row>
    <row r="68" spans="1:87" s="66" customFormat="1" ht="15" customHeight="1" thickBot="1" x14ac:dyDescent="0.25">
      <c r="A68" s="1968"/>
      <c r="B68" s="1199" t="s">
        <v>47</v>
      </c>
      <c r="C68" s="1178" t="s">
        <v>591</v>
      </c>
      <c r="D68" s="1178" t="s">
        <v>612</v>
      </c>
      <c r="E68" s="1179" t="s">
        <v>588</v>
      </c>
      <c r="F68" s="1162">
        <v>0</v>
      </c>
      <c r="G68" s="1163"/>
      <c r="H68" s="1757">
        <v>0</v>
      </c>
      <c r="I68" s="1757">
        <v>0</v>
      </c>
      <c r="J68" s="1757">
        <v>0</v>
      </c>
      <c r="K68" s="1757">
        <v>0</v>
      </c>
      <c r="L68" s="1757">
        <v>0</v>
      </c>
      <c r="M68" s="1757">
        <v>0</v>
      </c>
      <c r="N68" s="1757">
        <v>0</v>
      </c>
      <c r="O68" s="1757">
        <v>0</v>
      </c>
      <c r="P68" s="1757">
        <v>0</v>
      </c>
      <c r="Q68" s="1757">
        <v>0</v>
      </c>
      <c r="R68" s="1757">
        <v>0</v>
      </c>
      <c r="S68" s="1757">
        <v>0</v>
      </c>
      <c r="T68" s="1757">
        <v>0</v>
      </c>
      <c r="U68" s="1757">
        <v>0</v>
      </c>
      <c r="V68" s="1757">
        <v>0</v>
      </c>
      <c r="W68" s="1757">
        <v>0</v>
      </c>
      <c r="X68" s="1757">
        <v>0</v>
      </c>
      <c r="Y68" s="1757">
        <v>0</v>
      </c>
      <c r="Z68" s="1757">
        <v>0</v>
      </c>
      <c r="AA68" s="1757">
        <v>0</v>
      </c>
      <c r="AB68" s="1757">
        <v>0</v>
      </c>
      <c r="AC68" s="1757">
        <v>0</v>
      </c>
      <c r="AD68" s="1757">
        <v>0</v>
      </c>
      <c r="AE68" s="1757">
        <v>0</v>
      </c>
      <c r="AF68" s="1757">
        <v>0</v>
      </c>
      <c r="AG68" s="1757">
        <v>0</v>
      </c>
      <c r="AH68" s="1757">
        <v>0</v>
      </c>
      <c r="AI68" s="1757">
        <v>0</v>
      </c>
      <c r="AJ68" s="1757">
        <v>0</v>
      </c>
      <c r="AK68" s="1757">
        <v>0</v>
      </c>
      <c r="AL68" s="1757">
        <v>0</v>
      </c>
      <c r="AM68" s="1757">
        <v>0</v>
      </c>
      <c r="AN68" s="1757">
        <v>0</v>
      </c>
      <c r="AO68" s="1757">
        <v>0</v>
      </c>
      <c r="AP68" s="1757">
        <v>0</v>
      </c>
      <c r="AQ68" s="1757">
        <v>0</v>
      </c>
      <c r="AR68" s="1757">
        <v>0</v>
      </c>
      <c r="AS68" s="1757">
        <v>0</v>
      </c>
      <c r="AT68" s="1757">
        <v>0</v>
      </c>
      <c r="AU68" s="1757">
        <v>0</v>
      </c>
      <c r="AV68" s="1757">
        <v>0</v>
      </c>
      <c r="AW68" s="1757">
        <v>0</v>
      </c>
      <c r="AX68" s="1757">
        <v>0</v>
      </c>
      <c r="AY68" s="1757">
        <v>0</v>
      </c>
      <c r="AZ68" s="1757">
        <v>0</v>
      </c>
      <c r="BA68" s="1757">
        <v>0</v>
      </c>
      <c r="BB68" s="1757">
        <v>0</v>
      </c>
      <c r="BC68" s="1757">
        <v>0</v>
      </c>
      <c r="BD68" s="1757">
        <v>0</v>
      </c>
      <c r="BE68" s="1757">
        <v>0</v>
      </c>
      <c r="BF68" s="1757">
        <v>0</v>
      </c>
      <c r="BG68" s="1757">
        <v>0</v>
      </c>
      <c r="BH68" s="1757">
        <v>0</v>
      </c>
      <c r="BI68" s="1757">
        <v>0</v>
      </c>
      <c r="BJ68" s="1757">
        <v>0</v>
      </c>
      <c r="BK68" s="1757">
        <v>0</v>
      </c>
      <c r="BL68" s="1757">
        <v>0</v>
      </c>
      <c r="BM68" s="1757">
        <v>0</v>
      </c>
      <c r="BN68" s="1757">
        <v>0</v>
      </c>
      <c r="BO68" s="1757">
        <v>0</v>
      </c>
      <c r="BP68" s="1757">
        <v>0</v>
      </c>
      <c r="BQ68" s="1757">
        <v>0</v>
      </c>
      <c r="BR68" s="1757">
        <v>0</v>
      </c>
      <c r="BS68" s="1757">
        <v>0</v>
      </c>
      <c r="BT68" s="1757">
        <v>0</v>
      </c>
      <c r="BU68" s="1757">
        <v>0</v>
      </c>
      <c r="BV68" s="1757">
        <v>0</v>
      </c>
      <c r="BW68" s="1757">
        <v>0</v>
      </c>
      <c r="BX68" s="1757">
        <v>0</v>
      </c>
      <c r="BY68" s="1757">
        <v>0</v>
      </c>
      <c r="BZ68" s="1757">
        <v>0</v>
      </c>
      <c r="CA68" s="1757">
        <v>0</v>
      </c>
      <c r="CB68" s="1757">
        <v>0</v>
      </c>
      <c r="CC68" s="1757">
        <v>0</v>
      </c>
      <c r="CD68" s="1757">
        <v>0</v>
      </c>
      <c r="CE68" s="1757">
        <v>0</v>
      </c>
      <c r="CF68" s="1757">
        <v>0</v>
      </c>
      <c r="CG68" s="1757">
        <v>0</v>
      </c>
      <c r="CH68" s="1757">
        <v>0</v>
      </c>
      <c r="CI68" s="1757">
        <v>0</v>
      </c>
    </row>
    <row r="69" spans="1:87" s="66" customFormat="1" ht="30" customHeight="1" thickBot="1" x14ac:dyDescent="0.25">
      <c r="A69" s="1968"/>
      <c r="B69" s="1916" t="s">
        <v>2237</v>
      </c>
      <c r="C69" s="1917"/>
      <c r="D69" s="1917"/>
      <c r="E69" s="1208" t="s">
        <v>1320</v>
      </c>
      <c r="F69" s="705">
        <f>SUM(F65:F68)</f>
        <v>0</v>
      </c>
      <c r="G69" s="700"/>
      <c r="H69" s="1746">
        <f t="shared" ref="H69:Q69" si="18">SUM(H65:H68)</f>
        <v>0</v>
      </c>
      <c r="I69" s="1746">
        <f t="shared" si="18"/>
        <v>0</v>
      </c>
      <c r="J69" s="1746">
        <f t="shared" si="18"/>
        <v>0</v>
      </c>
      <c r="K69" s="1746">
        <f t="shared" si="18"/>
        <v>0</v>
      </c>
      <c r="L69" s="1746">
        <f t="shared" si="18"/>
        <v>0</v>
      </c>
      <c r="M69" s="1746">
        <f t="shared" si="18"/>
        <v>0</v>
      </c>
      <c r="N69" s="1746">
        <f t="shared" si="18"/>
        <v>0</v>
      </c>
      <c r="O69" s="1746">
        <f t="shared" si="18"/>
        <v>0</v>
      </c>
      <c r="P69" s="1746">
        <f t="shared" si="18"/>
        <v>0</v>
      </c>
      <c r="Q69" s="1746">
        <f t="shared" si="18"/>
        <v>0</v>
      </c>
      <c r="R69" s="1746">
        <f t="shared" ref="R69:CC69" si="19">SUM(R65:R68)</f>
        <v>0</v>
      </c>
      <c r="S69" s="1746">
        <f t="shared" si="19"/>
        <v>0</v>
      </c>
      <c r="T69" s="1746">
        <f t="shared" si="19"/>
        <v>0</v>
      </c>
      <c r="U69" s="1746">
        <f t="shared" si="19"/>
        <v>0</v>
      </c>
      <c r="V69" s="1746">
        <f t="shared" si="19"/>
        <v>0</v>
      </c>
      <c r="W69" s="1746">
        <f t="shared" si="19"/>
        <v>0</v>
      </c>
      <c r="X69" s="1746">
        <f t="shared" si="19"/>
        <v>0</v>
      </c>
      <c r="Y69" s="1746">
        <f t="shared" si="19"/>
        <v>0</v>
      </c>
      <c r="Z69" s="1746">
        <f t="shared" si="19"/>
        <v>0</v>
      </c>
      <c r="AA69" s="1746">
        <f t="shared" si="19"/>
        <v>0</v>
      </c>
      <c r="AB69" s="1746">
        <f t="shared" si="19"/>
        <v>0</v>
      </c>
      <c r="AC69" s="1746">
        <f t="shared" si="19"/>
        <v>0</v>
      </c>
      <c r="AD69" s="1746">
        <f t="shared" si="19"/>
        <v>0</v>
      </c>
      <c r="AE69" s="1746">
        <f t="shared" si="19"/>
        <v>0</v>
      </c>
      <c r="AF69" s="1746">
        <f t="shared" si="19"/>
        <v>0</v>
      </c>
      <c r="AG69" s="1746">
        <f t="shared" si="19"/>
        <v>0</v>
      </c>
      <c r="AH69" s="1746">
        <f t="shared" si="19"/>
        <v>0</v>
      </c>
      <c r="AI69" s="1746">
        <f t="shared" si="19"/>
        <v>0</v>
      </c>
      <c r="AJ69" s="1746">
        <f t="shared" si="19"/>
        <v>0</v>
      </c>
      <c r="AK69" s="1746">
        <f t="shared" si="19"/>
        <v>0</v>
      </c>
      <c r="AL69" s="1746">
        <f t="shared" si="19"/>
        <v>0</v>
      </c>
      <c r="AM69" s="1746">
        <f t="shared" si="19"/>
        <v>0</v>
      </c>
      <c r="AN69" s="1746">
        <f t="shared" si="19"/>
        <v>0</v>
      </c>
      <c r="AO69" s="1746">
        <f t="shared" si="19"/>
        <v>0</v>
      </c>
      <c r="AP69" s="1746">
        <f t="shared" si="19"/>
        <v>0</v>
      </c>
      <c r="AQ69" s="1746">
        <f t="shared" si="19"/>
        <v>0</v>
      </c>
      <c r="AR69" s="1746">
        <f t="shared" si="19"/>
        <v>0</v>
      </c>
      <c r="AS69" s="1746">
        <f t="shared" si="19"/>
        <v>0</v>
      </c>
      <c r="AT69" s="1746">
        <f t="shared" si="19"/>
        <v>0</v>
      </c>
      <c r="AU69" s="1746">
        <f t="shared" si="19"/>
        <v>0</v>
      </c>
      <c r="AV69" s="1746">
        <f t="shared" si="19"/>
        <v>0</v>
      </c>
      <c r="AW69" s="1746">
        <f t="shared" si="19"/>
        <v>0</v>
      </c>
      <c r="AX69" s="1746">
        <f t="shared" si="19"/>
        <v>0</v>
      </c>
      <c r="AY69" s="1746">
        <f t="shared" si="19"/>
        <v>0</v>
      </c>
      <c r="AZ69" s="1746">
        <f t="shared" si="19"/>
        <v>0</v>
      </c>
      <c r="BA69" s="1746">
        <f t="shared" si="19"/>
        <v>0</v>
      </c>
      <c r="BB69" s="1746">
        <f t="shared" si="19"/>
        <v>0</v>
      </c>
      <c r="BC69" s="1746">
        <f t="shared" si="19"/>
        <v>0</v>
      </c>
      <c r="BD69" s="1746">
        <f t="shared" si="19"/>
        <v>0</v>
      </c>
      <c r="BE69" s="1746">
        <f t="shared" si="19"/>
        <v>0</v>
      </c>
      <c r="BF69" s="1746">
        <f t="shared" si="19"/>
        <v>0</v>
      </c>
      <c r="BG69" s="1746">
        <f t="shared" si="19"/>
        <v>0</v>
      </c>
      <c r="BH69" s="1746">
        <f t="shared" si="19"/>
        <v>0</v>
      </c>
      <c r="BI69" s="1746">
        <f t="shared" si="19"/>
        <v>0</v>
      </c>
      <c r="BJ69" s="1746">
        <f t="shared" si="19"/>
        <v>0</v>
      </c>
      <c r="BK69" s="1746">
        <f t="shared" si="19"/>
        <v>0</v>
      </c>
      <c r="BL69" s="1746">
        <f t="shared" si="19"/>
        <v>0</v>
      </c>
      <c r="BM69" s="1746">
        <f t="shared" si="19"/>
        <v>0</v>
      </c>
      <c r="BN69" s="1746">
        <f t="shared" si="19"/>
        <v>0</v>
      </c>
      <c r="BO69" s="1746">
        <f t="shared" si="19"/>
        <v>0</v>
      </c>
      <c r="BP69" s="1746">
        <f t="shared" si="19"/>
        <v>0</v>
      </c>
      <c r="BQ69" s="1746">
        <f t="shared" si="19"/>
        <v>0</v>
      </c>
      <c r="BR69" s="1746">
        <f t="shared" si="19"/>
        <v>0</v>
      </c>
      <c r="BS69" s="1746">
        <f t="shared" si="19"/>
        <v>0</v>
      </c>
      <c r="BT69" s="1746">
        <f t="shared" si="19"/>
        <v>0</v>
      </c>
      <c r="BU69" s="1746">
        <f t="shared" si="19"/>
        <v>0</v>
      </c>
      <c r="BV69" s="1746">
        <f t="shared" si="19"/>
        <v>0</v>
      </c>
      <c r="BW69" s="1746">
        <f t="shared" si="19"/>
        <v>0</v>
      </c>
      <c r="BX69" s="1746">
        <f t="shared" si="19"/>
        <v>0</v>
      </c>
      <c r="BY69" s="1746">
        <f t="shared" si="19"/>
        <v>0</v>
      </c>
      <c r="BZ69" s="1746">
        <f t="shared" si="19"/>
        <v>0</v>
      </c>
      <c r="CA69" s="1746">
        <f t="shared" si="19"/>
        <v>0</v>
      </c>
      <c r="CB69" s="1746">
        <f t="shared" si="19"/>
        <v>0</v>
      </c>
      <c r="CC69" s="1746">
        <f t="shared" si="19"/>
        <v>0</v>
      </c>
      <c r="CD69" s="1746">
        <f t="shared" ref="CD69:CI69" si="20">SUM(CD65:CD68)</f>
        <v>0</v>
      </c>
      <c r="CE69" s="1746">
        <f t="shared" si="20"/>
        <v>0</v>
      </c>
      <c r="CF69" s="1746">
        <f t="shared" si="20"/>
        <v>0</v>
      </c>
      <c r="CG69" s="1746">
        <f t="shared" si="20"/>
        <v>0</v>
      </c>
      <c r="CH69" s="1746">
        <f t="shared" si="20"/>
        <v>0</v>
      </c>
      <c r="CI69" s="1746">
        <f t="shared" si="20"/>
        <v>0</v>
      </c>
    </row>
    <row r="70" spans="1:87" s="66" customFormat="1" ht="21" customHeight="1" thickBot="1" x14ac:dyDescent="0.25">
      <c r="A70" s="1969"/>
      <c r="B70" s="1918"/>
      <c r="C70" s="1919"/>
      <c r="D70" s="1919"/>
      <c r="E70" s="1203" t="s">
        <v>469</v>
      </c>
      <c r="F70" s="993">
        <f>F69/12</f>
        <v>0</v>
      </c>
      <c r="G70" s="702"/>
      <c r="H70" s="1752">
        <f t="shared" ref="H70:Q70" si="21">H69/12</f>
        <v>0</v>
      </c>
      <c r="I70" s="1752">
        <f t="shared" si="21"/>
        <v>0</v>
      </c>
      <c r="J70" s="1752">
        <f t="shared" si="21"/>
        <v>0</v>
      </c>
      <c r="K70" s="1752">
        <f t="shared" si="21"/>
        <v>0</v>
      </c>
      <c r="L70" s="1752">
        <f t="shared" si="21"/>
        <v>0</v>
      </c>
      <c r="M70" s="1752">
        <f t="shared" si="21"/>
        <v>0</v>
      </c>
      <c r="N70" s="1752">
        <f t="shared" si="21"/>
        <v>0</v>
      </c>
      <c r="O70" s="1752">
        <f t="shared" si="21"/>
        <v>0</v>
      </c>
      <c r="P70" s="1752">
        <f t="shared" si="21"/>
        <v>0</v>
      </c>
      <c r="Q70" s="1752">
        <f t="shared" si="21"/>
        <v>0</v>
      </c>
      <c r="R70" s="1752">
        <f t="shared" ref="R70:CC70" si="22">R69/12</f>
        <v>0</v>
      </c>
      <c r="S70" s="1752">
        <f t="shared" si="22"/>
        <v>0</v>
      </c>
      <c r="T70" s="1752">
        <f t="shared" si="22"/>
        <v>0</v>
      </c>
      <c r="U70" s="1752">
        <f t="shared" si="22"/>
        <v>0</v>
      </c>
      <c r="V70" s="1752">
        <f t="shared" si="22"/>
        <v>0</v>
      </c>
      <c r="W70" s="1752">
        <f t="shared" si="22"/>
        <v>0</v>
      </c>
      <c r="X70" s="1752">
        <f t="shared" si="22"/>
        <v>0</v>
      </c>
      <c r="Y70" s="1752">
        <f t="shared" si="22"/>
        <v>0</v>
      </c>
      <c r="Z70" s="1752">
        <f t="shared" si="22"/>
        <v>0</v>
      </c>
      <c r="AA70" s="1752">
        <f t="shared" si="22"/>
        <v>0</v>
      </c>
      <c r="AB70" s="1752">
        <f t="shared" si="22"/>
        <v>0</v>
      </c>
      <c r="AC70" s="1752">
        <f t="shared" si="22"/>
        <v>0</v>
      </c>
      <c r="AD70" s="1752">
        <f t="shared" si="22"/>
        <v>0</v>
      </c>
      <c r="AE70" s="1752">
        <f t="shared" si="22"/>
        <v>0</v>
      </c>
      <c r="AF70" s="1752">
        <f t="shared" si="22"/>
        <v>0</v>
      </c>
      <c r="AG70" s="1752">
        <f t="shared" si="22"/>
        <v>0</v>
      </c>
      <c r="AH70" s="1752">
        <f t="shared" si="22"/>
        <v>0</v>
      </c>
      <c r="AI70" s="1752">
        <f t="shared" si="22"/>
        <v>0</v>
      </c>
      <c r="AJ70" s="1752">
        <f t="shared" si="22"/>
        <v>0</v>
      </c>
      <c r="AK70" s="1752">
        <f t="shared" si="22"/>
        <v>0</v>
      </c>
      <c r="AL70" s="1752">
        <f t="shared" si="22"/>
        <v>0</v>
      </c>
      <c r="AM70" s="1752">
        <f t="shared" si="22"/>
        <v>0</v>
      </c>
      <c r="AN70" s="1752">
        <f t="shared" si="22"/>
        <v>0</v>
      </c>
      <c r="AO70" s="1752">
        <f t="shared" si="22"/>
        <v>0</v>
      </c>
      <c r="AP70" s="1752">
        <f t="shared" si="22"/>
        <v>0</v>
      </c>
      <c r="AQ70" s="1752">
        <f t="shared" si="22"/>
        <v>0</v>
      </c>
      <c r="AR70" s="1752">
        <f t="shared" si="22"/>
        <v>0</v>
      </c>
      <c r="AS70" s="1752">
        <f t="shared" si="22"/>
        <v>0</v>
      </c>
      <c r="AT70" s="1752">
        <f t="shared" si="22"/>
        <v>0</v>
      </c>
      <c r="AU70" s="1752">
        <f t="shared" si="22"/>
        <v>0</v>
      </c>
      <c r="AV70" s="1752">
        <f t="shared" si="22"/>
        <v>0</v>
      </c>
      <c r="AW70" s="1752">
        <f t="shared" si="22"/>
        <v>0</v>
      </c>
      <c r="AX70" s="1752">
        <f t="shared" si="22"/>
        <v>0</v>
      </c>
      <c r="AY70" s="1752">
        <f t="shared" si="22"/>
        <v>0</v>
      </c>
      <c r="AZ70" s="1752">
        <f t="shared" si="22"/>
        <v>0</v>
      </c>
      <c r="BA70" s="1752">
        <f t="shared" si="22"/>
        <v>0</v>
      </c>
      <c r="BB70" s="1752">
        <f t="shared" si="22"/>
        <v>0</v>
      </c>
      <c r="BC70" s="1752">
        <f t="shared" si="22"/>
        <v>0</v>
      </c>
      <c r="BD70" s="1752">
        <f t="shared" si="22"/>
        <v>0</v>
      </c>
      <c r="BE70" s="1752">
        <f t="shared" si="22"/>
        <v>0</v>
      </c>
      <c r="BF70" s="1752">
        <f t="shared" si="22"/>
        <v>0</v>
      </c>
      <c r="BG70" s="1752">
        <f t="shared" si="22"/>
        <v>0</v>
      </c>
      <c r="BH70" s="1752">
        <f t="shared" si="22"/>
        <v>0</v>
      </c>
      <c r="BI70" s="1752">
        <f t="shared" si="22"/>
        <v>0</v>
      </c>
      <c r="BJ70" s="1752">
        <f t="shared" si="22"/>
        <v>0</v>
      </c>
      <c r="BK70" s="1752">
        <f t="shared" si="22"/>
        <v>0</v>
      </c>
      <c r="BL70" s="1752">
        <f t="shared" si="22"/>
        <v>0</v>
      </c>
      <c r="BM70" s="1752">
        <f t="shared" si="22"/>
        <v>0</v>
      </c>
      <c r="BN70" s="1752">
        <f t="shared" si="22"/>
        <v>0</v>
      </c>
      <c r="BO70" s="1752">
        <f t="shared" si="22"/>
        <v>0</v>
      </c>
      <c r="BP70" s="1752">
        <f t="shared" si="22"/>
        <v>0</v>
      </c>
      <c r="BQ70" s="1752">
        <f t="shared" si="22"/>
        <v>0</v>
      </c>
      <c r="BR70" s="1752">
        <f t="shared" si="22"/>
        <v>0</v>
      </c>
      <c r="BS70" s="1752">
        <f t="shared" si="22"/>
        <v>0</v>
      </c>
      <c r="BT70" s="1752">
        <f t="shared" si="22"/>
        <v>0</v>
      </c>
      <c r="BU70" s="1752">
        <f t="shared" si="22"/>
        <v>0</v>
      </c>
      <c r="BV70" s="1752">
        <f t="shared" si="22"/>
        <v>0</v>
      </c>
      <c r="BW70" s="1752">
        <f t="shared" si="22"/>
        <v>0</v>
      </c>
      <c r="BX70" s="1752">
        <f t="shared" si="22"/>
        <v>0</v>
      </c>
      <c r="BY70" s="1752">
        <f t="shared" si="22"/>
        <v>0</v>
      </c>
      <c r="BZ70" s="1752">
        <f t="shared" si="22"/>
        <v>0</v>
      </c>
      <c r="CA70" s="1752">
        <f t="shared" si="22"/>
        <v>0</v>
      </c>
      <c r="CB70" s="1752">
        <f t="shared" si="22"/>
        <v>0</v>
      </c>
      <c r="CC70" s="1752">
        <f t="shared" si="22"/>
        <v>0</v>
      </c>
      <c r="CD70" s="1752">
        <f t="shared" ref="CD70:CI70" si="23">CD69/12</f>
        <v>0</v>
      </c>
      <c r="CE70" s="1752">
        <f t="shared" si="23"/>
        <v>0</v>
      </c>
      <c r="CF70" s="1752">
        <f t="shared" si="23"/>
        <v>0</v>
      </c>
      <c r="CG70" s="1752">
        <f t="shared" si="23"/>
        <v>0</v>
      </c>
      <c r="CH70" s="1752">
        <f t="shared" si="23"/>
        <v>0</v>
      </c>
      <c r="CI70" s="1752">
        <f t="shared" si="23"/>
        <v>0</v>
      </c>
    </row>
    <row r="71" spans="1:87" s="66" customFormat="1" ht="21" customHeight="1" thickBot="1" x14ac:dyDescent="0.25">
      <c r="A71" s="1967" t="s">
        <v>0</v>
      </c>
      <c r="B71" s="1954" t="s">
        <v>2238</v>
      </c>
      <c r="C71" s="1917"/>
      <c r="D71" s="1917"/>
      <c r="E71" s="1926"/>
      <c r="F71" s="1172"/>
      <c r="G71" s="1156"/>
      <c r="H71" s="1760"/>
      <c r="I71" s="1760"/>
      <c r="J71" s="1760"/>
      <c r="K71" s="1760"/>
      <c r="L71" s="1760"/>
      <c r="M71" s="1760"/>
      <c r="N71" s="1760"/>
      <c r="O71" s="1760"/>
      <c r="P71" s="1760"/>
      <c r="Q71" s="1760"/>
      <c r="R71" s="1760"/>
      <c r="S71" s="1760"/>
      <c r="T71" s="1760"/>
      <c r="U71" s="1760"/>
      <c r="V71" s="1760"/>
      <c r="W71" s="1760"/>
      <c r="X71" s="1760"/>
      <c r="Y71" s="1760"/>
      <c r="Z71" s="1760"/>
      <c r="AA71" s="1760"/>
      <c r="AB71" s="1760"/>
      <c r="AC71" s="1760"/>
      <c r="AD71" s="1760"/>
      <c r="AE71" s="1760"/>
      <c r="AF71" s="1760"/>
      <c r="AG71" s="1760"/>
      <c r="AH71" s="1760"/>
      <c r="AI71" s="1760"/>
      <c r="AJ71" s="1760"/>
      <c r="AK71" s="1760"/>
      <c r="AL71" s="1760"/>
      <c r="AM71" s="1760"/>
      <c r="AN71" s="1760"/>
      <c r="AO71" s="1760"/>
      <c r="AP71" s="1760"/>
      <c r="AQ71" s="1760"/>
      <c r="AR71" s="1760"/>
      <c r="AS71" s="1760"/>
      <c r="AT71" s="1760"/>
      <c r="AU71" s="1760"/>
      <c r="AV71" s="1760"/>
      <c r="AW71" s="1760"/>
      <c r="AX71" s="1760"/>
      <c r="AY71" s="1760"/>
      <c r="AZ71" s="1760"/>
      <c r="BA71" s="1760"/>
      <c r="BB71" s="1760"/>
      <c r="BC71" s="1760"/>
      <c r="BD71" s="1760"/>
      <c r="BE71" s="1760"/>
      <c r="BF71" s="1760"/>
      <c r="BG71" s="1760"/>
      <c r="BH71" s="1760"/>
      <c r="BI71" s="1760"/>
      <c r="BJ71" s="1760"/>
      <c r="BK71" s="1760"/>
      <c r="BL71" s="1760"/>
      <c r="BM71" s="1760"/>
      <c r="BN71" s="1760"/>
      <c r="BO71" s="1760"/>
      <c r="BP71" s="1760"/>
      <c r="BQ71" s="1760"/>
      <c r="BR71" s="1760"/>
      <c r="BS71" s="1760"/>
      <c r="BT71" s="1760"/>
      <c r="BU71" s="1760"/>
      <c r="BV71" s="1760"/>
      <c r="BW71" s="1760"/>
      <c r="BX71" s="1760"/>
      <c r="BY71" s="1760"/>
      <c r="BZ71" s="1760"/>
      <c r="CA71" s="1760"/>
      <c r="CB71" s="1760"/>
      <c r="CC71" s="1760"/>
      <c r="CD71" s="1760"/>
      <c r="CE71" s="1760"/>
      <c r="CF71" s="1760"/>
      <c r="CG71" s="1760"/>
      <c r="CH71" s="1760"/>
      <c r="CI71" s="1760"/>
    </row>
    <row r="72" spans="1:87" s="66" customFormat="1" ht="30" customHeight="1" thickBot="1" x14ac:dyDescent="0.25">
      <c r="A72" s="1968"/>
      <c r="B72" s="1955" t="s">
        <v>2456</v>
      </c>
      <c r="C72" s="1956"/>
      <c r="D72" s="1956"/>
      <c r="E72" s="1957"/>
      <c r="F72" s="1159"/>
      <c r="G72" s="1799"/>
      <c r="H72" s="1800"/>
      <c r="I72" s="1800"/>
      <c r="J72" s="1800"/>
      <c r="K72" s="1800"/>
      <c r="L72" s="1800"/>
      <c r="M72" s="1800"/>
      <c r="N72" s="1800"/>
      <c r="O72" s="1800"/>
      <c r="P72" s="1800"/>
      <c r="Q72" s="1800"/>
      <c r="R72" s="1800"/>
      <c r="S72" s="1800"/>
      <c r="T72" s="1800"/>
      <c r="U72" s="1800"/>
      <c r="V72" s="1800"/>
      <c r="W72" s="1800"/>
      <c r="X72" s="1800"/>
      <c r="Y72" s="1800"/>
      <c r="Z72" s="1800"/>
      <c r="AA72" s="1800"/>
      <c r="AB72" s="1800"/>
      <c r="AC72" s="1800"/>
      <c r="AD72" s="1800"/>
      <c r="AE72" s="1800"/>
      <c r="AF72" s="1800"/>
      <c r="AG72" s="1800"/>
      <c r="AH72" s="1800"/>
      <c r="AI72" s="1800"/>
      <c r="AJ72" s="1800"/>
      <c r="AK72" s="1800"/>
      <c r="AL72" s="1800"/>
      <c r="AM72" s="1800"/>
      <c r="AN72" s="1800"/>
      <c r="AO72" s="1800"/>
      <c r="AP72" s="1800"/>
      <c r="AQ72" s="1800"/>
      <c r="AR72" s="1800"/>
      <c r="AS72" s="1800"/>
      <c r="AT72" s="1800"/>
      <c r="AU72" s="1800"/>
      <c r="AV72" s="1800"/>
      <c r="AW72" s="1800"/>
      <c r="AX72" s="1800"/>
      <c r="AY72" s="1800"/>
      <c r="AZ72" s="1800"/>
      <c r="BA72" s="1800"/>
      <c r="BB72" s="1800"/>
      <c r="BC72" s="1800"/>
      <c r="BD72" s="1800"/>
      <c r="BE72" s="1800"/>
      <c r="BF72" s="1800"/>
      <c r="BG72" s="1800"/>
      <c r="BH72" s="1800"/>
      <c r="BI72" s="1800"/>
      <c r="BJ72" s="1800"/>
      <c r="BK72" s="1800"/>
      <c r="BL72" s="1800"/>
      <c r="BM72" s="1800"/>
      <c r="BN72" s="1800"/>
      <c r="BO72" s="1800"/>
      <c r="BP72" s="1800"/>
      <c r="BQ72" s="1800"/>
      <c r="BR72" s="1800"/>
      <c r="BS72" s="1800"/>
      <c r="BT72" s="1800"/>
      <c r="BU72" s="1800"/>
      <c r="BV72" s="1800"/>
      <c r="BW72" s="1800"/>
      <c r="BX72" s="1800"/>
      <c r="BY72" s="1800"/>
      <c r="BZ72" s="1800"/>
      <c r="CA72" s="1800"/>
      <c r="CB72" s="1800"/>
      <c r="CC72" s="1800"/>
      <c r="CD72" s="1800"/>
      <c r="CE72" s="1800"/>
      <c r="CF72" s="1800"/>
      <c r="CG72" s="1800"/>
      <c r="CH72" s="1800"/>
      <c r="CI72" s="1800"/>
    </row>
    <row r="73" spans="1:87" s="66" customFormat="1" ht="15" customHeight="1" x14ac:dyDescent="0.2">
      <c r="A73" s="1968"/>
      <c r="B73" s="1949" t="s">
        <v>1743</v>
      </c>
      <c r="C73" s="1950"/>
      <c r="D73" s="1950"/>
      <c r="E73" s="1950"/>
      <c r="F73" s="1160"/>
      <c r="G73" s="1158"/>
      <c r="H73" s="1160"/>
      <c r="I73" s="1160"/>
      <c r="J73" s="1160"/>
      <c r="K73" s="1160"/>
      <c r="L73" s="1160"/>
      <c r="M73" s="1160"/>
      <c r="N73" s="1160"/>
      <c r="O73" s="1160"/>
      <c r="P73" s="1160"/>
      <c r="Q73" s="1160"/>
      <c r="R73" s="1160"/>
      <c r="S73" s="1160"/>
      <c r="T73" s="1160"/>
      <c r="U73" s="1160"/>
      <c r="V73" s="1160"/>
      <c r="W73" s="1160"/>
      <c r="X73" s="1160"/>
      <c r="Y73" s="1160"/>
      <c r="Z73" s="1160"/>
      <c r="AA73" s="1160"/>
      <c r="AB73" s="1160"/>
      <c r="AC73" s="1160"/>
      <c r="AD73" s="1160"/>
      <c r="AE73" s="1160"/>
      <c r="AF73" s="1160"/>
      <c r="AG73" s="1160"/>
      <c r="AH73" s="1160"/>
      <c r="AI73" s="1160"/>
      <c r="AJ73" s="1160"/>
      <c r="AK73" s="1160"/>
      <c r="AL73" s="1160"/>
      <c r="AM73" s="1160"/>
      <c r="AN73" s="1160"/>
      <c r="AO73" s="1160"/>
      <c r="AP73" s="1160"/>
      <c r="AQ73" s="1160"/>
      <c r="AR73" s="1160"/>
      <c r="AS73" s="1160"/>
      <c r="AT73" s="1160"/>
      <c r="AU73" s="1160"/>
      <c r="AV73" s="1160"/>
      <c r="AW73" s="1160"/>
      <c r="AX73" s="1160"/>
      <c r="AY73" s="1160"/>
      <c r="AZ73" s="1160"/>
      <c r="BA73" s="1160"/>
      <c r="BB73" s="1160"/>
      <c r="BC73" s="1160"/>
      <c r="BD73" s="1160"/>
      <c r="BE73" s="1160"/>
      <c r="BF73" s="1160"/>
      <c r="BG73" s="1160"/>
      <c r="BH73" s="1160"/>
      <c r="BI73" s="1160"/>
      <c r="BJ73" s="1160"/>
      <c r="BK73" s="1160"/>
      <c r="BL73" s="1160"/>
      <c r="BM73" s="1160"/>
      <c r="BN73" s="1160"/>
      <c r="BO73" s="1160"/>
      <c r="BP73" s="1160"/>
      <c r="BQ73" s="1160"/>
      <c r="BR73" s="1160"/>
      <c r="BS73" s="1160"/>
      <c r="BT73" s="1160"/>
      <c r="BU73" s="1160"/>
      <c r="BV73" s="1160"/>
      <c r="BW73" s="1160"/>
      <c r="BX73" s="1160"/>
      <c r="BY73" s="1160"/>
      <c r="BZ73" s="1160"/>
      <c r="CA73" s="1160"/>
      <c r="CB73" s="1160"/>
      <c r="CC73" s="1160"/>
      <c r="CD73" s="1160"/>
      <c r="CE73" s="1160"/>
      <c r="CF73" s="1160"/>
      <c r="CG73" s="1160"/>
      <c r="CH73" s="1160"/>
      <c r="CI73" s="1160"/>
    </row>
    <row r="74" spans="1:87" s="66" customFormat="1" ht="15" customHeight="1" x14ac:dyDescent="0.2">
      <c r="A74" s="1968"/>
      <c r="B74" s="1947" t="s">
        <v>1744</v>
      </c>
      <c r="C74" s="1948"/>
      <c r="D74" s="1948"/>
      <c r="E74" s="1948"/>
      <c r="F74" s="1160"/>
      <c r="G74" s="1158"/>
      <c r="H74" s="1160"/>
      <c r="I74" s="1160"/>
      <c r="J74" s="1160"/>
      <c r="K74" s="1160"/>
      <c r="L74" s="1160"/>
      <c r="M74" s="1160"/>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0"/>
      <c r="AK74" s="1160"/>
      <c r="AL74" s="1160"/>
      <c r="AM74" s="1160"/>
      <c r="AN74" s="1160"/>
      <c r="AO74" s="1160"/>
      <c r="AP74" s="1160"/>
      <c r="AQ74" s="1160"/>
      <c r="AR74" s="1160"/>
      <c r="AS74" s="1160"/>
      <c r="AT74" s="1160"/>
      <c r="AU74" s="1160"/>
      <c r="AV74" s="1160"/>
      <c r="AW74" s="1160"/>
      <c r="AX74" s="1160"/>
      <c r="AY74" s="1160"/>
      <c r="AZ74" s="1160"/>
      <c r="BA74" s="1160"/>
      <c r="BB74" s="1160"/>
      <c r="BC74" s="1160"/>
      <c r="BD74" s="1160"/>
      <c r="BE74" s="1160"/>
      <c r="BF74" s="1160"/>
      <c r="BG74" s="1160"/>
      <c r="BH74" s="1160"/>
      <c r="BI74" s="1160"/>
      <c r="BJ74" s="1160"/>
      <c r="BK74" s="1160"/>
      <c r="BL74" s="1160"/>
      <c r="BM74" s="1160"/>
      <c r="BN74" s="1160"/>
      <c r="BO74" s="1160"/>
      <c r="BP74" s="1160"/>
      <c r="BQ74" s="1160"/>
      <c r="BR74" s="1160"/>
      <c r="BS74" s="1160"/>
      <c r="BT74" s="1160"/>
      <c r="BU74" s="1160"/>
      <c r="BV74" s="1160"/>
      <c r="BW74" s="1160"/>
      <c r="BX74" s="1160"/>
      <c r="BY74" s="1160"/>
      <c r="BZ74" s="1160"/>
      <c r="CA74" s="1160"/>
      <c r="CB74" s="1160"/>
      <c r="CC74" s="1160"/>
      <c r="CD74" s="1160"/>
      <c r="CE74" s="1160"/>
      <c r="CF74" s="1160"/>
      <c r="CG74" s="1160"/>
      <c r="CH74" s="1160"/>
      <c r="CI74" s="1160"/>
    </row>
    <row r="75" spans="1:87" s="66" customFormat="1" ht="15" customHeight="1" x14ac:dyDescent="0.2">
      <c r="A75" s="1968"/>
      <c r="B75" s="1947" t="s">
        <v>1745</v>
      </c>
      <c r="C75" s="1948"/>
      <c r="D75" s="1948"/>
      <c r="E75" s="1948"/>
      <c r="F75" s="1160"/>
      <c r="G75" s="1158"/>
      <c r="H75" s="1160"/>
      <c r="I75" s="1160"/>
      <c r="J75" s="1160"/>
      <c r="K75" s="1160"/>
      <c r="L75" s="1160"/>
      <c r="M75" s="1160"/>
      <c r="N75" s="1160"/>
      <c r="O75" s="1160"/>
      <c r="P75" s="1160"/>
      <c r="Q75" s="1160"/>
      <c r="R75" s="1160"/>
      <c r="S75" s="1160"/>
      <c r="T75" s="1160"/>
      <c r="U75" s="1160"/>
      <c r="V75" s="1160"/>
      <c r="W75" s="1160"/>
      <c r="X75" s="1160"/>
      <c r="Y75" s="1160"/>
      <c r="Z75" s="1160"/>
      <c r="AA75" s="1160"/>
      <c r="AB75" s="1160"/>
      <c r="AC75" s="1160"/>
      <c r="AD75" s="1160"/>
      <c r="AE75" s="1160"/>
      <c r="AF75" s="1160"/>
      <c r="AG75" s="1160"/>
      <c r="AH75" s="1160"/>
      <c r="AI75" s="1160"/>
      <c r="AJ75" s="1160"/>
      <c r="AK75" s="1160"/>
      <c r="AL75" s="1160"/>
      <c r="AM75" s="1160"/>
      <c r="AN75" s="1160"/>
      <c r="AO75" s="1160"/>
      <c r="AP75" s="1160"/>
      <c r="AQ75" s="1160"/>
      <c r="AR75" s="1160"/>
      <c r="AS75" s="1160"/>
      <c r="AT75" s="1160"/>
      <c r="AU75" s="1160"/>
      <c r="AV75" s="1160"/>
      <c r="AW75" s="1160"/>
      <c r="AX75" s="1160"/>
      <c r="AY75" s="1160"/>
      <c r="AZ75" s="1160"/>
      <c r="BA75" s="1160"/>
      <c r="BB75" s="1160"/>
      <c r="BC75" s="1160"/>
      <c r="BD75" s="1160"/>
      <c r="BE75" s="1160"/>
      <c r="BF75" s="1160"/>
      <c r="BG75" s="1160"/>
      <c r="BH75" s="1160"/>
      <c r="BI75" s="1160"/>
      <c r="BJ75" s="1160"/>
      <c r="BK75" s="1160"/>
      <c r="BL75" s="1160"/>
      <c r="BM75" s="1160"/>
      <c r="BN75" s="1160"/>
      <c r="BO75" s="1160"/>
      <c r="BP75" s="1160"/>
      <c r="BQ75" s="1160"/>
      <c r="BR75" s="1160"/>
      <c r="BS75" s="1160"/>
      <c r="BT75" s="1160"/>
      <c r="BU75" s="1160"/>
      <c r="BV75" s="1160"/>
      <c r="BW75" s="1160"/>
      <c r="BX75" s="1160"/>
      <c r="BY75" s="1160"/>
      <c r="BZ75" s="1160"/>
      <c r="CA75" s="1160"/>
      <c r="CB75" s="1160"/>
      <c r="CC75" s="1160"/>
      <c r="CD75" s="1160"/>
      <c r="CE75" s="1160"/>
      <c r="CF75" s="1160"/>
      <c r="CG75" s="1160"/>
      <c r="CH75" s="1160"/>
      <c r="CI75" s="1160"/>
    </row>
    <row r="76" spans="1:87" s="66" customFormat="1" ht="15" customHeight="1" x14ac:dyDescent="0.2">
      <c r="A76" s="1968"/>
      <c r="B76" s="1947" t="s">
        <v>1746</v>
      </c>
      <c r="C76" s="1948"/>
      <c r="D76" s="1948"/>
      <c r="E76" s="1948"/>
      <c r="F76" s="1160"/>
      <c r="G76" s="1158"/>
      <c r="H76" s="1160"/>
      <c r="I76" s="1160"/>
      <c r="J76" s="1160"/>
      <c r="K76" s="1160"/>
      <c r="L76" s="1160"/>
      <c r="M76" s="1160"/>
      <c r="N76" s="1160"/>
      <c r="O76" s="1160"/>
      <c r="P76" s="1160"/>
      <c r="Q76" s="1160"/>
      <c r="R76" s="1160"/>
      <c r="S76" s="1160"/>
      <c r="T76" s="1160"/>
      <c r="U76" s="1160"/>
      <c r="V76" s="1160"/>
      <c r="W76" s="1160"/>
      <c r="X76" s="1160"/>
      <c r="Y76" s="1160"/>
      <c r="Z76" s="1160"/>
      <c r="AA76" s="1160"/>
      <c r="AB76" s="1160"/>
      <c r="AC76" s="1160"/>
      <c r="AD76" s="1160"/>
      <c r="AE76" s="1160"/>
      <c r="AF76" s="1160"/>
      <c r="AG76" s="1160"/>
      <c r="AH76" s="1160"/>
      <c r="AI76" s="1160"/>
      <c r="AJ76" s="1160"/>
      <c r="AK76" s="1160"/>
      <c r="AL76" s="1160"/>
      <c r="AM76" s="1160"/>
      <c r="AN76" s="1160"/>
      <c r="AO76" s="1160"/>
      <c r="AP76" s="1160"/>
      <c r="AQ76" s="1160"/>
      <c r="AR76" s="1160"/>
      <c r="AS76" s="1160"/>
      <c r="AT76" s="1160"/>
      <c r="AU76" s="1160"/>
      <c r="AV76" s="1160"/>
      <c r="AW76" s="1160"/>
      <c r="AX76" s="1160"/>
      <c r="AY76" s="1160"/>
      <c r="AZ76" s="1160"/>
      <c r="BA76" s="1160"/>
      <c r="BB76" s="1160"/>
      <c r="BC76" s="1160"/>
      <c r="BD76" s="1160"/>
      <c r="BE76" s="1160"/>
      <c r="BF76" s="1160"/>
      <c r="BG76" s="1160"/>
      <c r="BH76" s="1160"/>
      <c r="BI76" s="1160"/>
      <c r="BJ76" s="1160"/>
      <c r="BK76" s="1160"/>
      <c r="BL76" s="1160"/>
      <c r="BM76" s="1160"/>
      <c r="BN76" s="1160"/>
      <c r="BO76" s="1160"/>
      <c r="BP76" s="1160"/>
      <c r="BQ76" s="1160"/>
      <c r="BR76" s="1160"/>
      <c r="BS76" s="1160"/>
      <c r="BT76" s="1160"/>
      <c r="BU76" s="1160"/>
      <c r="BV76" s="1160"/>
      <c r="BW76" s="1160"/>
      <c r="BX76" s="1160"/>
      <c r="BY76" s="1160"/>
      <c r="BZ76" s="1160"/>
      <c r="CA76" s="1160"/>
      <c r="CB76" s="1160"/>
      <c r="CC76" s="1160"/>
      <c r="CD76" s="1160"/>
      <c r="CE76" s="1160"/>
      <c r="CF76" s="1160"/>
      <c r="CG76" s="1160"/>
      <c r="CH76" s="1160"/>
      <c r="CI76" s="1160"/>
    </row>
    <row r="77" spans="1:87" s="66" customFormat="1" ht="15" customHeight="1" x14ac:dyDescent="0.2">
      <c r="A77" s="1968"/>
      <c r="B77" s="1947" t="s">
        <v>1747</v>
      </c>
      <c r="C77" s="1948"/>
      <c r="D77" s="1948"/>
      <c r="E77" s="1948"/>
      <c r="F77" s="1160"/>
      <c r="G77" s="1158"/>
      <c r="H77" s="1160"/>
      <c r="I77" s="1160"/>
      <c r="J77" s="1160"/>
      <c r="K77" s="1160"/>
      <c r="L77" s="1160"/>
      <c r="M77" s="1160"/>
      <c r="N77" s="1160"/>
      <c r="O77" s="1160"/>
      <c r="P77" s="1160"/>
      <c r="Q77" s="1160"/>
      <c r="R77" s="1160"/>
      <c r="S77" s="1160"/>
      <c r="T77" s="1160"/>
      <c r="U77" s="1160"/>
      <c r="V77" s="1160"/>
      <c r="W77" s="1160"/>
      <c r="X77" s="1160"/>
      <c r="Y77" s="1160"/>
      <c r="Z77" s="1160"/>
      <c r="AA77" s="1160"/>
      <c r="AB77" s="1160"/>
      <c r="AC77" s="1160"/>
      <c r="AD77" s="1160"/>
      <c r="AE77" s="1160"/>
      <c r="AF77" s="1160"/>
      <c r="AG77" s="1160"/>
      <c r="AH77" s="1160"/>
      <c r="AI77" s="1160"/>
      <c r="AJ77" s="1160"/>
      <c r="AK77" s="1160"/>
      <c r="AL77" s="1160"/>
      <c r="AM77" s="1160"/>
      <c r="AN77" s="1160"/>
      <c r="AO77" s="1160"/>
      <c r="AP77" s="1160"/>
      <c r="AQ77" s="1160"/>
      <c r="AR77" s="1160"/>
      <c r="AS77" s="1160"/>
      <c r="AT77" s="1160"/>
      <c r="AU77" s="1160"/>
      <c r="AV77" s="1160"/>
      <c r="AW77" s="1160"/>
      <c r="AX77" s="1160"/>
      <c r="AY77" s="1160"/>
      <c r="AZ77" s="1160"/>
      <c r="BA77" s="1160"/>
      <c r="BB77" s="1160"/>
      <c r="BC77" s="1160"/>
      <c r="BD77" s="1160"/>
      <c r="BE77" s="1160"/>
      <c r="BF77" s="1160"/>
      <c r="BG77" s="1160"/>
      <c r="BH77" s="1160"/>
      <c r="BI77" s="1160"/>
      <c r="BJ77" s="1160"/>
      <c r="BK77" s="1160"/>
      <c r="BL77" s="1160"/>
      <c r="BM77" s="1160"/>
      <c r="BN77" s="1160"/>
      <c r="BO77" s="1160"/>
      <c r="BP77" s="1160"/>
      <c r="BQ77" s="1160"/>
      <c r="BR77" s="1160"/>
      <c r="BS77" s="1160"/>
      <c r="BT77" s="1160"/>
      <c r="BU77" s="1160"/>
      <c r="BV77" s="1160"/>
      <c r="BW77" s="1160"/>
      <c r="BX77" s="1160"/>
      <c r="BY77" s="1160"/>
      <c r="BZ77" s="1160"/>
      <c r="CA77" s="1160"/>
      <c r="CB77" s="1160"/>
      <c r="CC77" s="1160"/>
      <c r="CD77" s="1160"/>
      <c r="CE77" s="1160"/>
      <c r="CF77" s="1160"/>
      <c r="CG77" s="1160"/>
      <c r="CH77" s="1160"/>
      <c r="CI77" s="1160"/>
    </row>
    <row r="78" spans="1:87" s="66" customFormat="1" ht="15" customHeight="1" x14ac:dyDescent="0.2">
      <c r="A78" s="1968"/>
      <c r="B78" s="1960" t="s">
        <v>1748</v>
      </c>
      <c r="C78" s="1961"/>
      <c r="D78" s="1961"/>
      <c r="E78" s="1961"/>
      <c r="F78" s="1160"/>
      <c r="G78" s="1158"/>
      <c r="H78" s="1160"/>
      <c r="I78" s="1160"/>
      <c r="J78" s="1160"/>
      <c r="K78" s="1160"/>
      <c r="L78" s="1160"/>
      <c r="M78" s="1160"/>
      <c r="N78" s="1160"/>
      <c r="O78" s="1160"/>
      <c r="P78" s="1160"/>
      <c r="Q78" s="1160"/>
      <c r="R78" s="1160"/>
      <c r="S78" s="1160"/>
      <c r="T78" s="1160"/>
      <c r="U78" s="1160"/>
      <c r="V78" s="1160"/>
      <c r="W78" s="1160"/>
      <c r="X78" s="1160"/>
      <c r="Y78" s="1160"/>
      <c r="Z78" s="1160"/>
      <c r="AA78" s="1160"/>
      <c r="AB78" s="1160"/>
      <c r="AC78" s="1160"/>
      <c r="AD78" s="1160"/>
      <c r="AE78" s="1160"/>
      <c r="AF78" s="1160"/>
      <c r="AG78" s="1160"/>
      <c r="AH78" s="1160"/>
      <c r="AI78" s="1160"/>
      <c r="AJ78" s="1160"/>
      <c r="AK78" s="1160"/>
      <c r="AL78" s="1160"/>
      <c r="AM78" s="1160"/>
      <c r="AN78" s="1160"/>
      <c r="AO78" s="1160"/>
      <c r="AP78" s="1160"/>
      <c r="AQ78" s="1160"/>
      <c r="AR78" s="1160"/>
      <c r="AS78" s="1160"/>
      <c r="AT78" s="1160"/>
      <c r="AU78" s="1160"/>
      <c r="AV78" s="1160"/>
      <c r="AW78" s="1160"/>
      <c r="AX78" s="1160"/>
      <c r="AY78" s="1160"/>
      <c r="AZ78" s="1160"/>
      <c r="BA78" s="1160"/>
      <c r="BB78" s="1160"/>
      <c r="BC78" s="1160"/>
      <c r="BD78" s="1160"/>
      <c r="BE78" s="1160"/>
      <c r="BF78" s="1160"/>
      <c r="BG78" s="1160"/>
      <c r="BH78" s="1160"/>
      <c r="BI78" s="1160"/>
      <c r="BJ78" s="1160"/>
      <c r="BK78" s="1160"/>
      <c r="BL78" s="1160"/>
      <c r="BM78" s="1160"/>
      <c r="BN78" s="1160"/>
      <c r="BO78" s="1160"/>
      <c r="BP78" s="1160"/>
      <c r="BQ78" s="1160"/>
      <c r="BR78" s="1160"/>
      <c r="BS78" s="1160"/>
      <c r="BT78" s="1160"/>
      <c r="BU78" s="1160"/>
      <c r="BV78" s="1160"/>
      <c r="BW78" s="1160"/>
      <c r="BX78" s="1160"/>
      <c r="BY78" s="1160"/>
      <c r="BZ78" s="1160"/>
      <c r="CA78" s="1160"/>
      <c r="CB78" s="1160"/>
      <c r="CC78" s="1160"/>
      <c r="CD78" s="1160"/>
      <c r="CE78" s="1160"/>
      <c r="CF78" s="1160"/>
      <c r="CG78" s="1160"/>
      <c r="CH78" s="1160"/>
      <c r="CI78" s="1160"/>
    </row>
    <row r="79" spans="1:87" s="66" customFormat="1" ht="15" customHeight="1" x14ac:dyDescent="0.2">
      <c r="A79" s="1968"/>
      <c r="B79" s="1947" t="s">
        <v>1749</v>
      </c>
      <c r="C79" s="1948"/>
      <c r="D79" s="1948"/>
      <c r="E79" s="1948"/>
      <c r="F79" s="1160"/>
      <c r="G79" s="1158"/>
      <c r="H79" s="1160"/>
      <c r="I79" s="1160"/>
      <c r="J79" s="1160"/>
      <c r="K79" s="1160"/>
      <c r="L79" s="1160"/>
      <c r="M79" s="1160"/>
      <c r="N79" s="1160"/>
      <c r="O79" s="1160"/>
      <c r="P79" s="1160"/>
      <c r="Q79" s="1160"/>
      <c r="R79" s="1160"/>
      <c r="S79" s="1160"/>
      <c r="T79" s="1160"/>
      <c r="U79" s="1160"/>
      <c r="V79" s="1160"/>
      <c r="W79" s="1160"/>
      <c r="X79" s="1160"/>
      <c r="Y79" s="1160"/>
      <c r="Z79" s="1160"/>
      <c r="AA79" s="1160"/>
      <c r="AB79" s="1160"/>
      <c r="AC79" s="1160"/>
      <c r="AD79" s="1160"/>
      <c r="AE79" s="1160"/>
      <c r="AF79" s="1160"/>
      <c r="AG79" s="1160"/>
      <c r="AH79" s="1160"/>
      <c r="AI79" s="1160"/>
      <c r="AJ79" s="1160"/>
      <c r="AK79" s="1160"/>
      <c r="AL79" s="1160"/>
      <c r="AM79" s="1160"/>
      <c r="AN79" s="1160"/>
      <c r="AO79" s="1160"/>
      <c r="AP79" s="1160"/>
      <c r="AQ79" s="1160"/>
      <c r="AR79" s="1160"/>
      <c r="AS79" s="1160"/>
      <c r="AT79" s="1160"/>
      <c r="AU79" s="1160"/>
      <c r="AV79" s="1160"/>
      <c r="AW79" s="1160"/>
      <c r="AX79" s="1160"/>
      <c r="AY79" s="1160"/>
      <c r="AZ79" s="1160"/>
      <c r="BA79" s="1160"/>
      <c r="BB79" s="1160"/>
      <c r="BC79" s="1160"/>
      <c r="BD79" s="1160"/>
      <c r="BE79" s="1160"/>
      <c r="BF79" s="1160"/>
      <c r="BG79" s="1160"/>
      <c r="BH79" s="1160"/>
      <c r="BI79" s="1160"/>
      <c r="BJ79" s="1160"/>
      <c r="BK79" s="1160"/>
      <c r="BL79" s="1160"/>
      <c r="BM79" s="1160"/>
      <c r="BN79" s="1160"/>
      <c r="BO79" s="1160"/>
      <c r="BP79" s="1160"/>
      <c r="BQ79" s="1160"/>
      <c r="BR79" s="1160"/>
      <c r="BS79" s="1160"/>
      <c r="BT79" s="1160"/>
      <c r="BU79" s="1160"/>
      <c r="BV79" s="1160"/>
      <c r="BW79" s="1160"/>
      <c r="BX79" s="1160"/>
      <c r="BY79" s="1160"/>
      <c r="BZ79" s="1160"/>
      <c r="CA79" s="1160"/>
      <c r="CB79" s="1160"/>
      <c r="CC79" s="1160"/>
      <c r="CD79" s="1160"/>
      <c r="CE79" s="1160"/>
      <c r="CF79" s="1160"/>
      <c r="CG79" s="1160"/>
      <c r="CH79" s="1160"/>
      <c r="CI79" s="1160"/>
    </row>
    <row r="80" spans="1:87" s="66" customFormat="1" ht="15" customHeight="1" thickBot="1" x14ac:dyDescent="0.25">
      <c r="A80" s="1968"/>
      <c r="B80" s="1947" t="s">
        <v>1750</v>
      </c>
      <c r="C80" s="1948"/>
      <c r="D80" s="1948"/>
      <c r="E80" s="1948"/>
      <c r="F80" s="1160"/>
      <c r="G80" s="1158"/>
      <c r="H80" s="1160"/>
      <c r="I80" s="1160"/>
      <c r="J80" s="1160"/>
      <c r="K80" s="1160"/>
      <c r="L80" s="1160"/>
      <c r="M80" s="1160"/>
      <c r="N80" s="1160"/>
      <c r="O80" s="1160"/>
      <c r="P80" s="1160"/>
      <c r="Q80" s="1160"/>
      <c r="R80" s="1160"/>
      <c r="S80" s="1160"/>
      <c r="T80" s="1160"/>
      <c r="U80" s="1160"/>
      <c r="V80" s="1160"/>
      <c r="W80" s="1160"/>
      <c r="X80" s="1160"/>
      <c r="Y80" s="1160"/>
      <c r="Z80" s="1160"/>
      <c r="AA80" s="1160"/>
      <c r="AB80" s="1160"/>
      <c r="AC80" s="1160"/>
      <c r="AD80" s="1160"/>
      <c r="AE80" s="1160"/>
      <c r="AF80" s="1160"/>
      <c r="AG80" s="1160"/>
      <c r="AH80" s="1160"/>
      <c r="AI80" s="1160"/>
      <c r="AJ80" s="1160"/>
      <c r="AK80" s="1160"/>
      <c r="AL80" s="1160"/>
      <c r="AM80" s="1160"/>
      <c r="AN80" s="1160"/>
      <c r="AO80" s="1160"/>
      <c r="AP80" s="1160"/>
      <c r="AQ80" s="1160"/>
      <c r="AR80" s="1160"/>
      <c r="AS80" s="1160"/>
      <c r="AT80" s="1160"/>
      <c r="AU80" s="1160"/>
      <c r="AV80" s="1160"/>
      <c r="AW80" s="1160"/>
      <c r="AX80" s="1160"/>
      <c r="AY80" s="1160"/>
      <c r="AZ80" s="1160"/>
      <c r="BA80" s="1160"/>
      <c r="BB80" s="1160"/>
      <c r="BC80" s="1160"/>
      <c r="BD80" s="1160"/>
      <c r="BE80" s="1160"/>
      <c r="BF80" s="1160"/>
      <c r="BG80" s="1160"/>
      <c r="BH80" s="1160"/>
      <c r="BI80" s="1160"/>
      <c r="BJ80" s="1160"/>
      <c r="BK80" s="1160"/>
      <c r="BL80" s="1160"/>
      <c r="BM80" s="1160"/>
      <c r="BN80" s="1160"/>
      <c r="BO80" s="1160"/>
      <c r="BP80" s="1160"/>
      <c r="BQ80" s="1160"/>
      <c r="BR80" s="1160"/>
      <c r="BS80" s="1160"/>
      <c r="BT80" s="1160"/>
      <c r="BU80" s="1160"/>
      <c r="BV80" s="1160"/>
      <c r="BW80" s="1160"/>
      <c r="BX80" s="1160"/>
      <c r="BY80" s="1160"/>
      <c r="BZ80" s="1160"/>
      <c r="CA80" s="1160"/>
      <c r="CB80" s="1160"/>
      <c r="CC80" s="1160"/>
      <c r="CD80" s="1160"/>
      <c r="CE80" s="1160"/>
      <c r="CF80" s="1160"/>
      <c r="CG80" s="1160"/>
      <c r="CH80" s="1160"/>
      <c r="CI80" s="1160"/>
    </row>
    <row r="81" spans="1:87" s="66" customFormat="1" ht="30" customHeight="1" thickBot="1" x14ac:dyDescent="0.25">
      <c r="A81" s="1968"/>
      <c r="B81" s="1951" t="s">
        <v>1324</v>
      </c>
      <c r="C81" s="1952"/>
      <c r="D81" s="1952"/>
      <c r="E81" s="1953"/>
      <c r="F81" s="1161"/>
      <c r="G81" s="1156"/>
      <c r="H81" s="1161"/>
      <c r="I81" s="1161"/>
      <c r="J81" s="1161"/>
      <c r="K81" s="1161"/>
      <c r="L81" s="1161"/>
      <c r="M81" s="1161"/>
      <c r="N81" s="1161"/>
      <c r="O81" s="1161"/>
      <c r="P81" s="1161"/>
      <c r="Q81" s="1161"/>
      <c r="R81" s="1161"/>
      <c r="S81" s="1161"/>
      <c r="T81" s="1161"/>
      <c r="U81" s="1161"/>
      <c r="V81" s="1161"/>
      <c r="W81" s="1161"/>
      <c r="X81" s="1161"/>
      <c r="Y81" s="1161"/>
      <c r="Z81" s="1161"/>
      <c r="AA81" s="1161"/>
      <c r="AB81" s="1161"/>
      <c r="AC81" s="1161"/>
      <c r="AD81" s="1161"/>
      <c r="AE81" s="1161"/>
      <c r="AF81" s="1161"/>
      <c r="AG81" s="1161"/>
      <c r="AH81" s="1161"/>
      <c r="AI81" s="1161"/>
      <c r="AJ81" s="1161"/>
      <c r="AK81" s="1161"/>
      <c r="AL81" s="1161"/>
      <c r="AM81" s="1161"/>
      <c r="AN81" s="1161"/>
      <c r="AO81" s="1161"/>
      <c r="AP81" s="1161"/>
      <c r="AQ81" s="1161"/>
      <c r="AR81" s="1161"/>
      <c r="AS81" s="1161"/>
      <c r="AT81" s="1161"/>
      <c r="AU81" s="1161"/>
      <c r="AV81" s="1161"/>
      <c r="AW81" s="1161"/>
      <c r="AX81" s="1161"/>
      <c r="AY81" s="1161"/>
      <c r="AZ81" s="1161"/>
      <c r="BA81" s="1161"/>
      <c r="BB81" s="1161"/>
      <c r="BC81" s="1161"/>
      <c r="BD81" s="1161"/>
      <c r="BE81" s="1161"/>
      <c r="BF81" s="1161"/>
      <c r="BG81" s="1161"/>
      <c r="BH81" s="1161"/>
      <c r="BI81" s="1161"/>
      <c r="BJ81" s="1161"/>
      <c r="BK81" s="1161"/>
      <c r="BL81" s="1161"/>
      <c r="BM81" s="1161"/>
      <c r="BN81" s="1161"/>
      <c r="BO81" s="1161"/>
      <c r="BP81" s="1161"/>
      <c r="BQ81" s="1161"/>
      <c r="BR81" s="1161"/>
      <c r="BS81" s="1161"/>
      <c r="BT81" s="1161"/>
      <c r="BU81" s="1161"/>
      <c r="BV81" s="1161"/>
      <c r="BW81" s="1161"/>
      <c r="BX81" s="1161"/>
      <c r="BY81" s="1161"/>
      <c r="BZ81" s="1161"/>
      <c r="CA81" s="1161"/>
      <c r="CB81" s="1161"/>
      <c r="CC81" s="1161"/>
      <c r="CD81" s="1161"/>
      <c r="CE81" s="1161"/>
      <c r="CF81" s="1161"/>
      <c r="CG81" s="1161"/>
      <c r="CH81" s="1161"/>
      <c r="CI81" s="1161"/>
    </row>
    <row r="82" spans="1:87" s="66" customFormat="1" ht="18" customHeight="1" thickBot="1" x14ac:dyDescent="0.25">
      <c r="A82" s="1968"/>
      <c r="B82" s="98"/>
      <c r="C82" s="67" t="s">
        <v>10</v>
      </c>
      <c r="D82" s="67" t="s">
        <v>11</v>
      </c>
      <c r="E82" s="67" t="s">
        <v>12</v>
      </c>
      <c r="F82" s="1161"/>
      <c r="G82" s="1156"/>
      <c r="H82" s="1161"/>
      <c r="I82" s="1161"/>
      <c r="J82" s="1161"/>
      <c r="K82" s="1161"/>
      <c r="L82" s="1161"/>
      <c r="M82" s="1161"/>
      <c r="N82" s="1161"/>
      <c r="O82" s="1161"/>
      <c r="P82" s="1161"/>
      <c r="Q82" s="1161"/>
      <c r="R82" s="1161"/>
      <c r="S82" s="1161"/>
      <c r="T82" s="1161"/>
      <c r="U82" s="1161"/>
      <c r="V82" s="1161"/>
      <c r="W82" s="1161"/>
      <c r="X82" s="1161"/>
      <c r="Y82" s="1161"/>
      <c r="Z82" s="1161"/>
      <c r="AA82" s="1161"/>
      <c r="AB82" s="1161"/>
      <c r="AC82" s="1161"/>
      <c r="AD82" s="1161"/>
      <c r="AE82" s="1161"/>
      <c r="AF82" s="1161"/>
      <c r="AG82" s="1161"/>
      <c r="AH82" s="1161"/>
      <c r="AI82" s="1161"/>
      <c r="AJ82" s="1161"/>
      <c r="AK82" s="1161"/>
      <c r="AL82" s="1161"/>
      <c r="AM82" s="1161"/>
      <c r="AN82" s="1161"/>
      <c r="AO82" s="1161"/>
      <c r="AP82" s="1161"/>
      <c r="AQ82" s="1161"/>
      <c r="AR82" s="1161"/>
      <c r="AS82" s="1161"/>
      <c r="AT82" s="1161"/>
      <c r="AU82" s="1161"/>
      <c r="AV82" s="1161"/>
      <c r="AW82" s="1161"/>
      <c r="AX82" s="1161"/>
      <c r="AY82" s="1161"/>
      <c r="AZ82" s="1161"/>
      <c r="BA82" s="1161"/>
      <c r="BB82" s="1161"/>
      <c r="BC82" s="1161"/>
      <c r="BD82" s="1161"/>
      <c r="BE82" s="1161"/>
      <c r="BF82" s="1161"/>
      <c r="BG82" s="1161"/>
      <c r="BH82" s="1161"/>
      <c r="BI82" s="1161"/>
      <c r="BJ82" s="1161"/>
      <c r="BK82" s="1161"/>
      <c r="BL82" s="1161"/>
      <c r="BM82" s="1161"/>
      <c r="BN82" s="1161"/>
      <c r="BO82" s="1161"/>
      <c r="BP82" s="1161"/>
      <c r="BQ82" s="1161"/>
      <c r="BR82" s="1161"/>
      <c r="BS82" s="1161"/>
      <c r="BT82" s="1161"/>
      <c r="BU82" s="1161"/>
      <c r="BV82" s="1161"/>
      <c r="BW82" s="1161"/>
      <c r="BX82" s="1161"/>
      <c r="BY82" s="1161"/>
      <c r="BZ82" s="1161"/>
      <c r="CA82" s="1161"/>
      <c r="CB82" s="1161"/>
      <c r="CC82" s="1161"/>
      <c r="CD82" s="1161"/>
      <c r="CE82" s="1161"/>
      <c r="CF82" s="1161"/>
      <c r="CG82" s="1161"/>
      <c r="CH82" s="1161"/>
      <c r="CI82" s="1161"/>
    </row>
    <row r="83" spans="1:87" s="66" customFormat="1" ht="25.5" x14ac:dyDescent="0.2">
      <c r="A83" s="1968"/>
      <c r="B83" s="619" t="s">
        <v>167</v>
      </c>
      <c r="C83" s="95" t="s">
        <v>434</v>
      </c>
      <c r="D83" s="95" t="s">
        <v>435</v>
      </c>
      <c r="E83" s="620" t="s">
        <v>436</v>
      </c>
      <c r="F83" s="1141">
        <v>0</v>
      </c>
      <c r="G83" s="1163"/>
      <c r="H83" s="1141">
        <v>0</v>
      </c>
      <c r="I83" s="1141">
        <v>0</v>
      </c>
      <c r="J83" s="1141">
        <v>0</v>
      </c>
      <c r="K83" s="1141">
        <v>0</v>
      </c>
      <c r="L83" s="1141">
        <v>0</v>
      </c>
      <c r="M83" s="1141">
        <v>0</v>
      </c>
      <c r="N83" s="1141">
        <v>0</v>
      </c>
      <c r="O83" s="1141">
        <v>0</v>
      </c>
      <c r="P83" s="1141">
        <v>0</v>
      </c>
      <c r="Q83" s="1141">
        <v>0</v>
      </c>
      <c r="R83" s="1141">
        <v>0</v>
      </c>
      <c r="S83" s="1141">
        <v>0</v>
      </c>
      <c r="T83" s="1141">
        <v>0</v>
      </c>
      <c r="U83" s="1141">
        <v>0</v>
      </c>
      <c r="V83" s="1141">
        <v>0</v>
      </c>
      <c r="W83" s="1141">
        <v>0</v>
      </c>
      <c r="X83" s="1141">
        <v>0</v>
      </c>
      <c r="Y83" s="1141">
        <v>0</v>
      </c>
      <c r="Z83" s="1141">
        <v>0</v>
      </c>
      <c r="AA83" s="1141">
        <v>0</v>
      </c>
      <c r="AB83" s="1141">
        <v>0</v>
      </c>
      <c r="AC83" s="1141">
        <v>0</v>
      </c>
      <c r="AD83" s="1141">
        <v>0</v>
      </c>
      <c r="AE83" s="1141">
        <v>0</v>
      </c>
      <c r="AF83" s="1141">
        <v>0</v>
      </c>
      <c r="AG83" s="1141">
        <v>0</v>
      </c>
      <c r="AH83" s="1141">
        <v>0</v>
      </c>
      <c r="AI83" s="1141">
        <v>0</v>
      </c>
      <c r="AJ83" s="1141">
        <v>0</v>
      </c>
      <c r="AK83" s="1141">
        <v>0</v>
      </c>
      <c r="AL83" s="1141">
        <v>0</v>
      </c>
      <c r="AM83" s="1141">
        <v>0</v>
      </c>
      <c r="AN83" s="1141">
        <v>0</v>
      </c>
      <c r="AO83" s="1141">
        <v>0</v>
      </c>
      <c r="AP83" s="1141">
        <v>0</v>
      </c>
      <c r="AQ83" s="1141">
        <v>0</v>
      </c>
      <c r="AR83" s="1141">
        <v>0</v>
      </c>
      <c r="AS83" s="1141">
        <v>0</v>
      </c>
      <c r="AT83" s="1141">
        <v>0</v>
      </c>
      <c r="AU83" s="1141">
        <v>0</v>
      </c>
      <c r="AV83" s="1141">
        <v>0</v>
      </c>
      <c r="AW83" s="1141">
        <v>0</v>
      </c>
      <c r="AX83" s="1141">
        <v>0</v>
      </c>
      <c r="AY83" s="1141">
        <v>0</v>
      </c>
      <c r="AZ83" s="1141">
        <v>0</v>
      </c>
      <c r="BA83" s="1141">
        <v>0</v>
      </c>
      <c r="BB83" s="1141">
        <v>0</v>
      </c>
      <c r="BC83" s="1141">
        <v>0</v>
      </c>
      <c r="BD83" s="1141">
        <v>0</v>
      </c>
      <c r="BE83" s="1141">
        <v>0</v>
      </c>
      <c r="BF83" s="1141">
        <v>0</v>
      </c>
      <c r="BG83" s="1141">
        <v>0</v>
      </c>
      <c r="BH83" s="1141">
        <v>0</v>
      </c>
      <c r="BI83" s="1141">
        <v>0</v>
      </c>
      <c r="BJ83" s="1141">
        <v>0</v>
      </c>
      <c r="BK83" s="1141">
        <v>0</v>
      </c>
      <c r="BL83" s="1141">
        <v>0</v>
      </c>
      <c r="BM83" s="1141">
        <v>0</v>
      </c>
      <c r="BN83" s="1141">
        <v>0</v>
      </c>
      <c r="BO83" s="1141">
        <v>0</v>
      </c>
      <c r="BP83" s="1141">
        <v>0</v>
      </c>
      <c r="BQ83" s="1141">
        <v>0</v>
      </c>
      <c r="BR83" s="1141">
        <v>0</v>
      </c>
      <c r="BS83" s="1141">
        <v>0</v>
      </c>
      <c r="BT83" s="1141">
        <v>0</v>
      </c>
      <c r="BU83" s="1141">
        <v>0</v>
      </c>
      <c r="BV83" s="1141">
        <v>0</v>
      </c>
      <c r="BW83" s="1141">
        <v>0</v>
      </c>
      <c r="BX83" s="1141">
        <v>0</v>
      </c>
      <c r="BY83" s="1141">
        <v>0</v>
      </c>
      <c r="BZ83" s="1141">
        <v>0</v>
      </c>
      <c r="CA83" s="1141">
        <v>0</v>
      </c>
      <c r="CB83" s="1141">
        <v>0</v>
      </c>
      <c r="CC83" s="1141">
        <v>0</v>
      </c>
      <c r="CD83" s="1141">
        <v>0</v>
      </c>
      <c r="CE83" s="1141">
        <v>0</v>
      </c>
      <c r="CF83" s="1141">
        <v>0</v>
      </c>
      <c r="CG83" s="1141">
        <v>0</v>
      </c>
      <c r="CH83" s="1141">
        <v>0</v>
      </c>
      <c r="CI83" s="1141">
        <v>0</v>
      </c>
    </row>
    <row r="84" spans="1:87" s="66" customFormat="1" ht="15" customHeight="1" x14ac:dyDescent="0.2">
      <c r="A84" s="1968"/>
      <c r="B84" s="619" t="s">
        <v>442</v>
      </c>
      <c r="C84" s="95" t="s">
        <v>44</v>
      </c>
      <c r="D84" s="95" t="s">
        <v>45</v>
      </c>
      <c r="E84" s="621" t="s">
        <v>46</v>
      </c>
      <c r="F84" s="1141">
        <v>0</v>
      </c>
      <c r="G84" s="1163"/>
      <c r="H84" s="1141">
        <v>0</v>
      </c>
      <c r="I84" s="1141">
        <v>0</v>
      </c>
      <c r="J84" s="1141">
        <v>0</v>
      </c>
      <c r="K84" s="1141">
        <v>0</v>
      </c>
      <c r="L84" s="1141">
        <v>0</v>
      </c>
      <c r="M84" s="1141">
        <v>0</v>
      </c>
      <c r="N84" s="1141">
        <v>0</v>
      </c>
      <c r="O84" s="1141">
        <v>0</v>
      </c>
      <c r="P84" s="1141">
        <v>0</v>
      </c>
      <c r="Q84" s="1141">
        <v>0</v>
      </c>
      <c r="R84" s="1141">
        <v>0</v>
      </c>
      <c r="S84" s="1141">
        <v>0</v>
      </c>
      <c r="T84" s="1141">
        <v>0</v>
      </c>
      <c r="U84" s="1141">
        <v>0</v>
      </c>
      <c r="V84" s="1141">
        <v>0</v>
      </c>
      <c r="W84" s="1141">
        <v>0</v>
      </c>
      <c r="X84" s="1141">
        <v>0</v>
      </c>
      <c r="Y84" s="1141">
        <v>0</v>
      </c>
      <c r="Z84" s="1141">
        <v>0</v>
      </c>
      <c r="AA84" s="1141">
        <v>0</v>
      </c>
      <c r="AB84" s="1141">
        <v>0</v>
      </c>
      <c r="AC84" s="1141">
        <v>0</v>
      </c>
      <c r="AD84" s="1141">
        <v>0</v>
      </c>
      <c r="AE84" s="1141">
        <v>0</v>
      </c>
      <c r="AF84" s="1141">
        <v>0</v>
      </c>
      <c r="AG84" s="1141">
        <v>0</v>
      </c>
      <c r="AH84" s="1141">
        <v>0</v>
      </c>
      <c r="AI84" s="1141">
        <v>0</v>
      </c>
      <c r="AJ84" s="1141">
        <v>0</v>
      </c>
      <c r="AK84" s="1141">
        <v>0</v>
      </c>
      <c r="AL84" s="1141">
        <v>0</v>
      </c>
      <c r="AM84" s="1141">
        <v>0</v>
      </c>
      <c r="AN84" s="1141">
        <v>0</v>
      </c>
      <c r="AO84" s="1141">
        <v>0</v>
      </c>
      <c r="AP84" s="1141">
        <v>0</v>
      </c>
      <c r="AQ84" s="1141">
        <v>0</v>
      </c>
      <c r="AR84" s="1141">
        <v>0</v>
      </c>
      <c r="AS84" s="1141">
        <v>0</v>
      </c>
      <c r="AT84" s="1141">
        <v>0</v>
      </c>
      <c r="AU84" s="1141">
        <v>0</v>
      </c>
      <c r="AV84" s="1141">
        <v>0</v>
      </c>
      <c r="AW84" s="1141">
        <v>0</v>
      </c>
      <c r="AX84" s="1141">
        <v>0</v>
      </c>
      <c r="AY84" s="1141">
        <v>0</v>
      </c>
      <c r="AZ84" s="1141">
        <v>0</v>
      </c>
      <c r="BA84" s="1141">
        <v>0</v>
      </c>
      <c r="BB84" s="1141">
        <v>0</v>
      </c>
      <c r="BC84" s="1141">
        <v>0</v>
      </c>
      <c r="BD84" s="1141">
        <v>0</v>
      </c>
      <c r="BE84" s="1141">
        <v>0</v>
      </c>
      <c r="BF84" s="1141">
        <v>0</v>
      </c>
      <c r="BG84" s="1141">
        <v>0</v>
      </c>
      <c r="BH84" s="1141">
        <v>0</v>
      </c>
      <c r="BI84" s="1141">
        <v>0</v>
      </c>
      <c r="BJ84" s="1141">
        <v>0</v>
      </c>
      <c r="BK84" s="1141">
        <v>0</v>
      </c>
      <c r="BL84" s="1141">
        <v>0</v>
      </c>
      <c r="BM84" s="1141">
        <v>0</v>
      </c>
      <c r="BN84" s="1141">
        <v>0</v>
      </c>
      <c r="BO84" s="1141">
        <v>0</v>
      </c>
      <c r="BP84" s="1141">
        <v>0</v>
      </c>
      <c r="BQ84" s="1141">
        <v>0</v>
      </c>
      <c r="BR84" s="1141">
        <v>0</v>
      </c>
      <c r="BS84" s="1141">
        <v>0</v>
      </c>
      <c r="BT84" s="1141">
        <v>0</v>
      </c>
      <c r="BU84" s="1141">
        <v>0</v>
      </c>
      <c r="BV84" s="1141">
        <v>0</v>
      </c>
      <c r="BW84" s="1141">
        <v>0</v>
      </c>
      <c r="BX84" s="1141">
        <v>0</v>
      </c>
      <c r="BY84" s="1141">
        <v>0</v>
      </c>
      <c r="BZ84" s="1141">
        <v>0</v>
      </c>
      <c r="CA84" s="1141">
        <v>0</v>
      </c>
      <c r="CB84" s="1141">
        <v>0</v>
      </c>
      <c r="CC84" s="1141">
        <v>0</v>
      </c>
      <c r="CD84" s="1141">
        <v>0</v>
      </c>
      <c r="CE84" s="1141">
        <v>0</v>
      </c>
      <c r="CF84" s="1141">
        <v>0</v>
      </c>
      <c r="CG84" s="1141">
        <v>0</v>
      </c>
      <c r="CH84" s="1141">
        <v>0</v>
      </c>
      <c r="CI84" s="1141">
        <v>0</v>
      </c>
    </row>
    <row r="85" spans="1:87" s="66" customFormat="1" ht="15.75" customHeight="1" x14ac:dyDescent="0.2">
      <c r="A85" s="1968"/>
      <c r="B85" s="619" t="s">
        <v>73</v>
      </c>
      <c r="C85" s="95" t="s">
        <v>251</v>
      </c>
      <c r="D85" s="95" t="s">
        <v>252</v>
      </c>
      <c r="E85" s="621" t="s">
        <v>253</v>
      </c>
      <c r="F85" s="1141">
        <v>0</v>
      </c>
      <c r="G85" s="1163"/>
      <c r="H85" s="1141">
        <v>0</v>
      </c>
      <c r="I85" s="1141">
        <v>0</v>
      </c>
      <c r="J85" s="1141">
        <v>0</v>
      </c>
      <c r="K85" s="1141">
        <v>0</v>
      </c>
      <c r="L85" s="1141">
        <v>0</v>
      </c>
      <c r="M85" s="1141">
        <v>0</v>
      </c>
      <c r="N85" s="1141">
        <v>0</v>
      </c>
      <c r="O85" s="1141">
        <v>0</v>
      </c>
      <c r="P85" s="1141">
        <v>0</v>
      </c>
      <c r="Q85" s="1141">
        <v>0</v>
      </c>
      <c r="R85" s="1141">
        <v>0</v>
      </c>
      <c r="S85" s="1141">
        <v>0</v>
      </c>
      <c r="T85" s="1141">
        <v>0</v>
      </c>
      <c r="U85" s="1141">
        <v>0</v>
      </c>
      <c r="V85" s="1141">
        <v>0</v>
      </c>
      <c r="W85" s="1141">
        <v>0</v>
      </c>
      <c r="X85" s="1141">
        <v>0</v>
      </c>
      <c r="Y85" s="1141">
        <v>0</v>
      </c>
      <c r="Z85" s="1141">
        <v>0</v>
      </c>
      <c r="AA85" s="1141">
        <v>0</v>
      </c>
      <c r="AB85" s="1141">
        <v>0</v>
      </c>
      <c r="AC85" s="1141">
        <v>0</v>
      </c>
      <c r="AD85" s="1141">
        <v>0</v>
      </c>
      <c r="AE85" s="1141">
        <v>0</v>
      </c>
      <c r="AF85" s="1141">
        <v>0</v>
      </c>
      <c r="AG85" s="1141">
        <v>0</v>
      </c>
      <c r="AH85" s="1141">
        <v>0</v>
      </c>
      <c r="AI85" s="1141">
        <v>0</v>
      </c>
      <c r="AJ85" s="1141">
        <v>0</v>
      </c>
      <c r="AK85" s="1141">
        <v>0</v>
      </c>
      <c r="AL85" s="1141">
        <v>0</v>
      </c>
      <c r="AM85" s="1141">
        <v>0</v>
      </c>
      <c r="AN85" s="1141">
        <v>0</v>
      </c>
      <c r="AO85" s="1141">
        <v>0</v>
      </c>
      <c r="AP85" s="1141">
        <v>0</v>
      </c>
      <c r="AQ85" s="1141">
        <v>0</v>
      </c>
      <c r="AR85" s="1141">
        <v>0</v>
      </c>
      <c r="AS85" s="1141">
        <v>0</v>
      </c>
      <c r="AT85" s="1141">
        <v>0</v>
      </c>
      <c r="AU85" s="1141">
        <v>0</v>
      </c>
      <c r="AV85" s="1141">
        <v>0</v>
      </c>
      <c r="AW85" s="1141">
        <v>0</v>
      </c>
      <c r="AX85" s="1141">
        <v>0</v>
      </c>
      <c r="AY85" s="1141">
        <v>0</v>
      </c>
      <c r="AZ85" s="1141">
        <v>0</v>
      </c>
      <c r="BA85" s="1141">
        <v>0</v>
      </c>
      <c r="BB85" s="1141">
        <v>0</v>
      </c>
      <c r="BC85" s="1141">
        <v>0</v>
      </c>
      <c r="BD85" s="1141">
        <v>0</v>
      </c>
      <c r="BE85" s="1141">
        <v>0</v>
      </c>
      <c r="BF85" s="1141">
        <v>0</v>
      </c>
      <c r="BG85" s="1141">
        <v>0</v>
      </c>
      <c r="BH85" s="1141">
        <v>0</v>
      </c>
      <c r="BI85" s="1141">
        <v>0</v>
      </c>
      <c r="BJ85" s="1141">
        <v>0</v>
      </c>
      <c r="BK85" s="1141">
        <v>0</v>
      </c>
      <c r="BL85" s="1141">
        <v>0</v>
      </c>
      <c r="BM85" s="1141">
        <v>0</v>
      </c>
      <c r="BN85" s="1141">
        <v>0</v>
      </c>
      <c r="BO85" s="1141">
        <v>0</v>
      </c>
      <c r="BP85" s="1141">
        <v>0</v>
      </c>
      <c r="BQ85" s="1141">
        <v>0</v>
      </c>
      <c r="BR85" s="1141">
        <v>0</v>
      </c>
      <c r="BS85" s="1141">
        <v>0</v>
      </c>
      <c r="BT85" s="1141">
        <v>0</v>
      </c>
      <c r="BU85" s="1141">
        <v>0</v>
      </c>
      <c r="BV85" s="1141">
        <v>0</v>
      </c>
      <c r="BW85" s="1141">
        <v>0</v>
      </c>
      <c r="BX85" s="1141">
        <v>0</v>
      </c>
      <c r="BY85" s="1141">
        <v>0</v>
      </c>
      <c r="BZ85" s="1141">
        <v>0</v>
      </c>
      <c r="CA85" s="1141">
        <v>0</v>
      </c>
      <c r="CB85" s="1141">
        <v>0</v>
      </c>
      <c r="CC85" s="1141">
        <v>0</v>
      </c>
      <c r="CD85" s="1141">
        <v>0</v>
      </c>
      <c r="CE85" s="1141">
        <v>0</v>
      </c>
      <c r="CF85" s="1141">
        <v>0</v>
      </c>
      <c r="CG85" s="1141">
        <v>0</v>
      </c>
      <c r="CH85" s="1141">
        <v>0</v>
      </c>
      <c r="CI85" s="1141">
        <v>0</v>
      </c>
    </row>
    <row r="86" spans="1:87" s="66" customFormat="1" ht="26.25" thickBot="1" x14ac:dyDescent="0.25">
      <c r="A86" s="1968"/>
      <c r="B86" s="309" t="s">
        <v>74</v>
      </c>
      <c r="C86" s="97" t="s">
        <v>69</v>
      </c>
      <c r="D86" s="97" t="s">
        <v>68</v>
      </c>
      <c r="E86" s="622" t="s">
        <v>608</v>
      </c>
      <c r="F86" s="1164">
        <v>0</v>
      </c>
      <c r="G86" s="1163"/>
      <c r="H86" s="1758">
        <v>0</v>
      </c>
      <c r="I86" s="1758">
        <v>0</v>
      </c>
      <c r="J86" s="1758">
        <v>0</v>
      </c>
      <c r="K86" s="1758">
        <v>0</v>
      </c>
      <c r="L86" s="1758">
        <v>0</v>
      </c>
      <c r="M86" s="1758">
        <v>0</v>
      </c>
      <c r="N86" s="1758">
        <v>0</v>
      </c>
      <c r="O86" s="1758">
        <v>0</v>
      </c>
      <c r="P86" s="1758">
        <v>0</v>
      </c>
      <c r="Q86" s="1758">
        <v>0</v>
      </c>
      <c r="R86" s="1758">
        <v>0</v>
      </c>
      <c r="S86" s="1758">
        <v>0</v>
      </c>
      <c r="T86" s="1758">
        <v>0</v>
      </c>
      <c r="U86" s="1758">
        <v>0</v>
      </c>
      <c r="V86" s="1758">
        <v>0</v>
      </c>
      <c r="W86" s="1758">
        <v>0</v>
      </c>
      <c r="X86" s="1758">
        <v>0</v>
      </c>
      <c r="Y86" s="1758">
        <v>0</v>
      </c>
      <c r="Z86" s="1758">
        <v>0</v>
      </c>
      <c r="AA86" s="1758">
        <v>0</v>
      </c>
      <c r="AB86" s="1758">
        <v>0</v>
      </c>
      <c r="AC86" s="1758">
        <v>0</v>
      </c>
      <c r="AD86" s="1758">
        <v>0</v>
      </c>
      <c r="AE86" s="1758">
        <v>0</v>
      </c>
      <c r="AF86" s="1758">
        <v>0</v>
      </c>
      <c r="AG86" s="1758">
        <v>0</v>
      </c>
      <c r="AH86" s="1758">
        <v>0</v>
      </c>
      <c r="AI86" s="1758">
        <v>0</v>
      </c>
      <c r="AJ86" s="1758">
        <v>0</v>
      </c>
      <c r="AK86" s="1758">
        <v>0</v>
      </c>
      <c r="AL86" s="1758">
        <v>0</v>
      </c>
      <c r="AM86" s="1758">
        <v>0</v>
      </c>
      <c r="AN86" s="1758">
        <v>0</v>
      </c>
      <c r="AO86" s="1758">
        <v>0</v>
      </c>
      <c r="AP86" s="1758">
        <v>0</v>
      </c>
      <c r="AQ86" s="1758">
        <v>0</v>
      </c>
      <c r="AR86" s="1758">
        <v>0</v>
      </c>
      <c r="AS86" s="1758">
        <v>0</v>
      </c>
      <c r="AT86" s="1758">
        <v>0</v>
      </c>
      <c r="AU86" s="1758">
        <v>0</v>
      </c>
      <c r="AV86" s="1758">
        <v>0</v>
      </c>
      <c r="AW86" s="1758">
        <v>0</v>
      </c>
      <c r="AX86" s="1758">
        <v>0</v>
      </c>
      <c r="AY86" s="1758">
        <v>0</v>
      </c>
      <c r="AZ86" s="1758">
        <v>0</v>
      </c>
      <c r="BA86" s="1758">
        <v>0</v>
      </c>
      <c r="BB86" s="1758">
        <v>0</v>
      </c>
      <c r="BC86" s="1758">
        <v>0</v>
      </c>
      <c r="BD86" s="1758">
        <v>0</v>
      </c>
      <c r="BE86" s="1758">
        <v>0</v>
      </c>
      <c r="BF86" s="1758">
        <v>0</v>
      </c>
      <c r="BG86" s="1758">
        <v>0</v>
      </c>
      <c r="BH86" s="1758">
        <v>0</v>
      </c>
      <c r="BI86" s="1758">
        <v>0</v>
      </c>
      <c r="BJ86" s="1758">
        <v>0</v>
      </c>
      <c r="BK86" s="1758">
        <v>0</v>
      </c>
      <c r="BL86" s="1758">
        <v>0</v>
      </c>
      <c r="BM86" s="1758">
        <v>0</v>
      </c>
      <c r="BN86" s="1758">
        <v>0</v>
      </c>
      <c r="BO86" s="1758">
        <v>0</v>
      </c>
      <c r="BP86" s="1758">
        <v>0</v>
      </c>
      <c r="BQ86" s="1758">
        <v>0</v>
      </c>
      <c r="BR86" s="1758">
        <v>0</v>
      </c>
      <c r="BS86" s="1758">
        <v>0</v>
      </c>
      <c r="BT86" s="1758">
        <v>0</v>
      </c>
      <c r="BU86" s="1758">
        <v>0</v>
      </c>
      <c r="BV86" s="1758">
        <v>0</v>
      </c>
      <c r="BW86" s="1758">
        <v>0</v>
      </c>
      <c r="BX86" s="1758">
        <v>0</v>
      </c>
      <c r="BY86" s="1758">
        <v>0</v>
      </c>
      <c r="BZ86" s="1758">
        <v>0</v>
      </c>
      <c r="CA86" s="1758">
        <v>0</v>
      </c>
      <c r="CB86" s="1758">
        <v>0</v>
      </c>
      <c r="CC86" s="1758">
        <v>0</v>
      </c>
      <c r="CD86" s="1758">
        <v>0</v>
      </c>
      <c r="CE86" s="1758">
        <v>0</v>
      </c>
      <c r="CF86" s="1758">
        <v>0</v>
      </c>
      <c r="CG86" s="1758">
        <v>0</v>
      </c>
      <c r="CH86" s="1758">
        <v>0</v>
      </c>
      <c r="CI86" s="1758">
        <v>0</v>
      </c>
    </row>
    <row r="87" spans="1:87" s="66" customFormat="1" ht="21" customHeight="1" thickBot="1" x14ac:dyDescent="0.25">
      <c r="A87" s="1968"/>
      <c r="B87" s="1944" t="s">
        <v>1320</v>
      </c>
      <c r="C87" s="1945"/>
      <c r="D87" s="1945"/>
      <c r="E87" s="1946"/>
      <c r="F87" s="96">
        <f>SUM(F83:F86)</f>
        <v>0</v>
      </c>
      <c r="G87" s="700"/>
      <c r="H87" s="96">
        <f t="shared" ref="H87:Q87" si="24">SUM(H83:H86)</f>
        <v>0</v>
      </c>
      <c r="I87" s="96">
        <f t="shared" si="24"/>
        <v>0</v>
      </c>
      <c r="J87" s="96">
        <f t="shared" si="24"/>
        <v>0</v>
      </c>
      <c r="K87" s="96">
        <f t="shared" si="24"/>
        <v>0</v>
      </c>
      <c r="L87" s="96">
        <f t="shared" si="24"/>
        <v>0</v>
      </c>
      <c r="M87" s="96">
        <f t="shared" si="24"/>
        <v>0</v>
      </c>
      <c r="N87" s="96">
        <f t="shared" si="24"/>
        <v>0</v>
      </c>
      <c r="O87" s="96">
        <f t="shared" si="24"/>
        <v>0</v>
      </c>
      <c r="P87" s="96">
        <f t="shared" si="24"/>
        <v>0</v>
      </c>
      <c r="Q87" s="96">
        <f t="shared" si="24"/>
        <v>0</v>
      </c>
      <c r="R87" s="96">
        <f t="shared" ref="R87:CC87" si="25">SUM(R83:R86)</f>
        <v>0</v>
      </c>
      <c r="S87" s="96">
        <f t="shared" si="25"/>
        <v>0</v>
      </c>
      <c r="T87" s="96">
        <f t="shared" si="25"/>
        <v>0</v>
      </c>
      <c r="U87" s="96">
        <f t="shared" si="25"/>
        <v>0</v>
      </c>
      <c r="V87" s="96">
        <f t="shared" si="25"/>
        <v>0</v>
      </c>
      <c r="W87" s="96">
        <f t="shared" si="25"/>
        <v>0</v>
      </c>
      <c r="X87" s="96">
        <f t="shared" si="25"/>
        <v>0</v>
      </c>
      <c r="Y87" s="96">
        <f t="shared" si="25"/>
        <v>0</v>
      </c>
      <c r="Z87" s="96">
        <f t="shared" si="25"/>
        <v>0</v>
      </c>
      <c r="AA87" s="96">
        <f t="shared" si="25"/>
        <v>0</v>
      </c>
      <c r="AB87" s="96">
        <f t="shared" si="25"/>
        <v>0</v>
      </c>
      <c r="AC87" s="96">
        <f t="shared" si="25"/>
        <v>0</v>
      </c>
      <c r="AD87" s="96">
        <f t="shared" si="25"/>
        <v>0</v>
      </c>
      <c r="AE87" s="96">
        <f t="shared" si="25"/>
        <v>0</v>
      </c>
      <c r="AF87" s="96">
        <f t="shared" si="25"/>
        <v>0</v>
      </c>
      <c r="AG87" s="96">
        <f t="shared" si="25"/>
        <v>0</v>
      </c>
      <c r="AH87" s="96">
        <f t="shared" si="25"/>
        <v>0</v>
      </c>
      <c r="AI87" s="96">
        <f t="shared" si="25"/>
        <v>0</v>
      </c>
      <c r="AJ87" s="96">
        <f t="shared" si="25"/>
        <v>0</v>
      </c>
      <c r="AK87" s="96">
        <f t="shared" si="25"/>
        <v>0</v>
      </c>
      <c r="AL87" s="96">
        <f t="shared" si="25"/>
        <v>0</v>
      </c>
      <c r="AM87" s="96">
        <f t="shared" si="25"/>
        <v>0</v>
      </c>
      <c r="AN87" s="96">
        <f t="shared" si="25"/>
        <v>0</v>
      </c>
      <c r="AO87" s="96">
        <f t="shared" si="25"/>
        <v>0</v>
      </c>
      <c r="AP87" s="96">
        <f t="shared" si="25"/>
        <v>0</v>
      </c>
      <c r="AQ87" s="96">
        <f t="shared" si="25"/>
        <v>0</v>
      </c>
      <c r="AR87" s="96">
        <f t="shared" si="25"/>
        <v>0</v>
      </c>
      <c r="AS87" s="96">
        <f t="shared" si="25"/>
        <v>0</v>
      </c>
      <c r="AT87" s="96">
        <f t="shared" si="25"/>
        <v>0</v>
      </c>
      <c r="AU87" s="96">
        <f t="shared" si="25"/>
        <v>0</v>
      </c>
      <c r="AV87" s="96">
        <f t="shared" si="25"/>
        <v>0</v>
      </c>
      <c r="AW87" s="96">
        <f t="shared" si="25"/>
        <v>0</v>
      </c>
      <c r="AX87" s="96">
        <f t="shared" si="25"/>
        <v>0</v>
      </c>
      <c r="AY87" s="96">
        <f t="shared" si="25"/>
        <v>0</v>
      </c>
      <c r="AZ87" s="96">
        <f t="shared" si="25"/>
        <v>0</v>
      </c>
      <c r="BA87" s="96">
        <f t="shared" si="25"/>
        <v>0</v>
      </c>
      <c r="BB87" s="96">
        <f t="shared" si="25"/>
        <v>0</v>
      </c>
      <c r="BC87" s="96">
        <f t="shared" si="25"/>
        <v>0</v>
      </c>
      <c r="BD87" s="96">
        <f t="shared" si="25"/>
        <v>0</v>
      </c>
      <c r="BE87" s="96">
        <f t="shared" si="25"/>
        <v>0</v>
      </c>
      <c r="BF87" s="96">
        <f t="shared" si="25"/>
        <v>0</v>
      </c>
      <c r="BG87" s="96">
        <f t="shared" si="25"/>
        <v>0</v>
      </c>
      <c r="BH87" s="96">
        <f t="shared" si="25"/>
        <v>0</v>
      </c>
      <c r="BI87" s="96">
        <f t="shared" si="25"/>
        <v>0</v>
      </c>
      <c r="BJ87" s="96">
        <f t="shared" si="25"/>
        <v>0</v>
      </c>
      <c r="BK87" s="96">
        <f t="shared" si="25"/>
        <v>0</v>
      </c>
      <c r="BL87" s="96">
        <f t="shared" si="25"/>
        <v>0</v>
      </c>
      <c r="BM87" s="96">
        <f t="shared" si="25"/>
        <v>0</v>
      </c>
      <c r="BN87" s="96">
        <f t="shared" si="25"/>
        <v>0</v>
      </c>
      <c r="BO87" s="96">
        <f t="shared" si="25"/>
        <v>0</v>
      </c>
      <c r="BP87" s="96">
        <f t="shared" si="25"/>
        <v>0</v>
      </c>
      <c r="BQ87" s="96">
        <f t="shared" si="25"/>
        <v>0</v>
      </c>
      <c r="BR87" s="96">
        <f t="shared" si="25"/>
        <v>0</v>
      </c>
      <c r="BS87" s="96">
        <f t="shared" si="25"/>
        <v>0</v>
      </c>
      <c r="BT87" s="96">
        <f t="shared" si="25"/>
        <v>0</v>
      </c>
      <c r="BU87" s="96">
        <f t="shared" si="25"/>
        <v>0</v>
      </c>
      <c r="BV87" s="96">
        <f t="shared" si="25"/>
        <v>0</v>
      </c>
      <c r="BW87" s="96">
        <f t="shared" si="25"/>
        <v>0</v>
      </c>
      <c r="BX87" s="96">
        <f t="shared" si="25"/>
        <v>0</v>
      </c>
      <c r="BY87" s="96">
        <f t="shared" si="25"/>
        <v>0</v>
      </c>
      <c r="BZ87" s="96">
        <f t="shared" si="25"/>
        <v>0</v>
      </c>
      <c r="CA87" s="96">
        <f t="shared" si="25"/>
        <v>0</v>
      </c>
      <c r="CB87" s="96">
        <f t="shared" si="25"/>
        <v>0</v>
      </c>
      <c r="CC87" s="96">
        <f t="shared" si="25"/>
        <v>0</v>
      </c>
      <c r="CD87" s="96">
        <f t="shared" ref="CD87:CI87" si="26">SUM(CD83:CD86)</f>
        <v>0</v>
      </c>
      <c r="CE87" s="96">
        <f t="shared" si="26"/>
        <v>0</v>
      </c>
      <c r="CF87" s="96">
        <f t="shared" si="26"/>
        <v>0</v>
      </c>
      <c r="CG87" s="96">
        <f t="shared" si="26"/>
        <v>0</v>
      </c>
      <c r="CH87" s="96">
        <f t="shared" si="26"/>
        <v>0</v>
      </c>
      <c r="CI87" s="96">
        <f t="shared" si="26"/>
        <v>0</v>
      </c>
    </row>
    <row r="88" spans="1:87" s="66" customFormat="1" ht="21" customHeight="1" thickBot="1" x14ac:dyDescent="0.25">
      <c r="A88" s="1969"/>
      <c r="B88" s="1942"/>
      <c r="C88" s="1943"/>
      <c r="D88" s="1943"/>
      <c r="E88" s="93" t="s">
        <v>469</v>
      </c>
      <c r="F88" s="994">
        <f>F87/12</f>
        <v>0</v>
      </c>
      <c r="G88" s="701"/>
      <c r="H88" s="994">
        <f t="shared" ref="H88:Q88" si="27">H87/12</f>
        <v>0</v>
      </c>
      <c r="I88" s="994">
        <f t="shared" si="27"/>
        <v>0</v>
      </c>
      <c r="J88" s="994">
        <f t="shared" si="27"/>
        <v>0</v>
      </c>
      <c r="K88" s="994">
        <f t="shared" si="27"/>
        <v>0</v>
      </c>
      <c r="L88" s="994">
        <f t="shared" si="27"/>
        <v>0</v>
      </c>
      <c r="M88" s="994">
        <f t="shared" si="27"/>
        <v>0</v>
      </c>
      <c r="N88" s="994">
        <f t="shared" si="27"/>
        <v>0</v>
      </c>
      <c r="O88" s="994">
        <f t="shared" si="27"/>
        <v>0</v>
      </c>
      <c r="P88" s="994">
        <f t="shared" si="27"/>
        <v>0</v>
      </c>
      <c r="Q88" s="994">
        <f t="shared" si="27"/>
        <v>0</v>
      </c>
      <c r="R88" s="994">
        <f t="shared" ref="R88:CC88" si="28">R87/12</f>
        <v>0</v>
      </c>
      <c r="S88" s="994">
        <f t="shared" si="28"/>
        <v>0</v>
      </c>
      <c r="T88" s="994">
        <f t="shared" si="28"/>
        <v>0</v>
      </c>
      <c r="U88" s="994">
        <f t="shared" si="28"/>
        <v>0</v>
      </c>
      <c r="V88" s="994">
        <f t="shared" si="28"/>
        <v>0</v>
      </c>
      <c r="W88" s="994">
        <f t="shared" si="28"/>
        <v>0</v>
      </c>
      <c r="X88" s="994">
        <f t="shared" si="28"/>
        <v>0</v>
      </c>
      <c r="Y88" s="994">
        <f t="shared" si="28"/>
        <v>0</v>
      </c>
      <c r="Z88" s="994">
        <f t="shared" si="28"/>
        <v>0</v>
      </c>
      <c r="AA88" s="994">
        <f t="shared" si="28"/>
        <v>0</v>
      </c>
      <c r="AB88" s="994">
        <f t="shared" si="28"/>
        <v>0</v>
      </c>
      <c r="AC88" s="994">
        <f t="shared" si="28"/>
        <v>0</v>
      </c>
      <c r="AD88" s="994">
        <f t="shared" si="28"/>
        <v>0</v>
      </c>
      <c r="AE88" s="994">
        <f t="shared" si="28"/>
        <v>0</v>
      </c>
      <c r="AF88" s="994">
        <f t="shared" si="28"/>
        <v>0</v>
      </c>
      <c r="AG88" s="994">
        <f t="shared" si="28"/>
        <v>0</v>
      </c>
      <c r="AH88" s="994">
        <f t="shared" si="28"/>
        <v>0</v>
      </c>
      <c r="AI88" s="994">
        <f t="shared" si="28"/>
        <v>0</v>
      </c>
      <c r="AJ88" s="994">
        <f t="shared" si="28"/>
        <v>0</v>
      </c>
      <c r="AK88" s="994">
        <f t="shared" si="28"/>
        <v>0</v>
      </c>
      <c r="AL88" s="994">
        <f t="shared" si="28"/>
        <v>0</v>
      </c>
      <c r="AM88" s="994">
        <f t="shared" si="28"/>
        <v>0</v>
      </c>
      <c r="AN88" s="994">
        <f t="shared" si="28"/>
        <v>0</v>
      </c>
      <c r="AO88" s="994">
        <f t="shared" si="28"/>
        <v>0</v>
      </c>
      <c r="AP88" s="994">
        <f t="shared" si="28"/>
        <v>0</v>
      </c>
      <c r="AQ88" s="994">
        <f t="shared" si="28"/>
        <v>0</v>
      </c>
      <c r="AR88" s="994">
        <f t="shared" si="28"/>
        <v>0</v>
      </c>
      <c r="AS88" s="994">
        <f t="shared" si="28"/>
        <v>0</v>
      </c>
      <c r="AT88" s="994">
        <f t="shared" si="28"/>
        <v>0</v>
      </c>
      <c r="AU88" s="994">
        <f t="shared" si="28"/>
        <v>0</v>
      </c>
      <c r="AV88" s="994">
        <f t="shared" si="28"/>
        <v>0</v>
      </c>
      <c r="AW88" s="994">
        <f t="shared" si="28"/>
        <v>0</v>
      </c>
      <c r="AX88" s="994">
        <f t="shared" si="28"/>
        <v>0</v>
      </c>
      <c r="AY88" s="994">
        <f t="shared" si="28"/>
        <v>0</v>
      </c>
      <c r="AZ88" s="994">
        <f t="shared" si="28"/>
        <v>0</v>
      </c>
      <c r="BA88" s="994">
        <f t="shared" si="28"/>
        <v>0</v>
      </c>
      <c r="BB88" s="994">
        <f t="shared" si="28"/>
        <v>0</v>
      </c>
      <c r="BC88" s="994">
        <f t="shared" si="28"/>
        <v>0</v>
      </c>
      <c r="BD88" s="994">
        <f t="shared" si="28"/>
        <v>0</v>
      </c>
      <c r="BE88" s="994">
        <f t="shared" si="28"/>
        <v>0</v>
      </c>
      <c r="BF88" s="994">
        <f t="shared" si="28"/>
        <v>0</v>
      </c>
      <c r="BG88" s="994">
        <f t="shared" si="28"/>
        <v>0</v>
      </c>
      <c r="BH88" s="994">
        <f t="shared" si="28"/>
        <v>0</v>
      </c>
      <c r="BI88" s="994">
        <f t="shared" si="28"/>
        <v>0</v>
      </c>
      <c r="BJ88" s="994">
        <f t="shared" si="28"/>
        <v>0</v>
      </c>
      <c r="BK88" s="994">
        <f t="shared" si="28"/>
        <v>0</v>
      </c>
      <c r="BL88" s="994">
        <f t="shared" si="28"/>
        <v>0</v>
      </c>
      <c r="BM88" s="994">
        <f t="shared" si="28"/>
        <v>0</v>
      </c>
      <c r="BN88" s="994">
        <f t="shared" si="28"/>
        <v>0</v>
      </c>
      <c r="BO88" s="994">
        <f t="shared" si="28"/>
        <v>0</v>
      </c>
      <c r="BP88" s="994">
        <f t="shared" si="28"/>
        <v>0</v>
      </c>
      <c r="BQ88" s="994">
        <f t="shared" si="28"/>
        <v>0</v>
      </c>
      <c r="BR88" s="994">
        <f t="shared" si="28"/>
        <v>0</v>
      </c>
      <c r="BS88" s="994">
        <f t="shared" si="28"/>
        <v>0</v>
      </c>
      <c r="BT88" s="994">
        <f t="shared" si="28"/>
        <v>0</v>
      </c>
      <c r="BU88" s="994">
        <f t="shared" si="28"/>
        <v>0</v>
      </c>
      <c r="BV88" s="994">
        <f t="shared" si="28"/>
        <v>0</v>
      </c>
      <c r="BW88" s="994">
        <f t="shared" si="28"/>
        <v>0</v>
      </c>
      <c r="BX88" s="994">
        <f t="shared" si="28"/>
        <v>0</v>
      </c>
      <c r="BY88" s="994">
        <f t="shared" si="28"/>
        <v>0</v>
      </c>
      <c r="BZ88" s="994">
        <f t="shared" si="28"/>
        <v>0</v>
      </c>
      <c r="CA88" s="994">
        <f t="shared" si="28"/>
        <v>0</v>
      </c>
      <c r="CB88" s="994">
        <f t="shared" si="28"/>
        <v>0</v>
      </c>
      <c r="CC88" s="994">
        <f t="shared" si="28"/>
        <v>0</v>
      </c>
      <c r="CD88" s="994">
        <f t="shared" ref="CD88:CI88" si="29">CD87/12</f>
        <v>0</v>
      </c>
      <c r="CE88" s="994">
        <f t="shared" si="29"/>
        <v>0</v>
      </c>
      <c r="CF88" s="994">
        <f t="shared" si="29"/>
        <v>0</v>
      </c>
      <c r="CG88" s="994">
        <f t="shared" si="29"/>
        <v>0</v>
      </c>
      <c r="CH88" s="994">
        <f t="shared" si="29"/>
        <v>0</v>
      </c>
      <c r="CI88" s="994">
        <f t="shared" si="29"/>
        <v>0</v>
      </c>
    </row>
    <row r="89" spans="1:87" ht="12.75" hidden="1" customHeight="1" x14ac:dyDescent="0.2">
      <c r="H89" s="27"/>
      <c r="I89" s="27"/>
      <c r="J89" s="27"/>
      <c r="K89" s="27"/>
      <c r="L89" s="27"/>
      <c r="R89" s="27"/>
      <c r="S89" s="27"/>
      <c r="T89" s="27"/>
      <c r="U89" s="27"/>
      <c r="V89" s="27"/>
      <c r="AB89" s="27"/>
      <c r="AC89" s="27"/>
      <c r="AD89" s="27"/>
      <c r="AE89" s="27"/>
      <c r="AF89" s="27"/>
      <c r="AL89" s="27"/>
      <c r="AM89" s="27"/>
      <c r="AN89" s="27"/>
      <c r="AO89" s="27"/>
      <c r="AP89" s="27"/>
      <c r="AV89" s="27"/>
      <c r="AW89" s="27"/>
      <c r="AX89" s="27"/>
      <c r="AY89" s="27"/>
      <c r="AZ89" s="27"/>
      <c r="BF89" s="27"/>
      <c r="BG89" s="27"/>
      <c r="BH89" s="27"/>
      <c r="BI89" s="27"/>
      <c r="BJ89" s="27"/>
      <c r="BP89" s="27"/>
      <c r="BQ89" s="27"/>
      <c r="BR89" s="27"/>
      <c r="BS89" s="27"/>
      <c r="BT89" s="27"/>
      <c r="BZ89" s="27"/>
      <c r="CA89" s="27"/>
      <c r="CB89" s="27"/>
      <c r="CC89" s="27"/>
      <c r="CD89" s="27"/>
    </row>
  </sheetData>
  <sheetProtection password="C4B9" sheet="1" objects="1" scenarios="1" formatCells="0" formatColumns="0" formatRows="0"/>
  <customSheetViews>
    <customSheetView guid="{B8E02330-2419-4DE6-AD01-7ACC7A5D18DD}" topLeftCell="A2">
      <selection activeCell="B157" sqref="B157:E157"/>
      <rowBreaks count="4" manualBreakCount="4">
        <brk id="36" max="5" man="1"/>
        <brk id="70" max="5" man="1"/>
        <brk id="109" max="16383" man="1"/>
        <brk id="148" max="16383" man="1"/>
      </rowBreaks>
      <pageMargins left="0.25" right="0.25" top="0.75" bottom="0.75" header="0.3" footer="0.3"/>
      <printOptions horizontalCentered="1"/>
      <pageSetup scale="75" orientation="portrait" r:id="rId1"/>
      <headerFooter alignWithMargins="0">
        <oddFooter>&amp;CWESPUS betaV1, by Dr. Paul Adamus</oddFooter>
      </headerFooter>
    </customSheetView>
  </customSheetViews>
  <mergeCells count="72">
    <mergeCell ref="A71:A88"/>
    <mergeCell ref="B11:E11"/>
    <mergeCell ref="B13:E13"/>
    <mergeCell ref="B38:E38"/>
    <mergeCell ref="B51:E51"/>
    <mergeCell ref="B14:E14"/>
    <mergeCell ref="B12:E12"/>
    <mergeCell ref="A3:A24"/>
    <mergeCell ref="B4:E4"/>
    <mergeCell ref="B23:E23"/>
    <mergeCell ref="B8:E8"/>
    <mergeCell ref="B6:E6"/>
    <mergeCell ref="B25:E25"/>
    <mergeCell ref="B7:E7"/>
    <mergeCell ref="B9:E9"/>
    <mergeCell ref="A53:A70"/>
    <mergeCell ref="B26:E26"/>
    <mergeCell ref="B63:E63"/>
    <mergeCell ref="B39:D39"/>
    <mergeCell ref="B29:E29"/>
    <mergeCell ref="B30:E30"/>
    <mergeCell ref="B53:E53"/>
    <mergeCell ref="B32:E32"/>
    <mergeCell ref="B27:E27"/>
    <mergeCell ref="B31:E31"/>
    <mergeCell ref="B28:E28"/>
    <mergeCell ref="B72:E72"/>
    <mergeCell ref="B79:E79"/>
    <mergeCell ref="B40:E40"/>
    <mergeCell ref="B60:E60"/>
    <mergeCell ref="B54:E54"/>
    <mergeCell ref="B57:E57"/>
    <mergeCell ref="B56:E56"/>
    <mergeCell ref="B78:E78"/>
    <mergeCell ref="B55:E55"/>
    <mergeCell ref="B44:E44"/>
    <mergeCell ref="B74:E74"/>
    <mergeCell ref="B70:D70"/>
    <mergeCell ref="B41:E41"/>
    <mergeCell ref="B52:D52"/>
    <mergeCell ref="B10:E10"/>
    <mergeCell ref="G25:G39"/>
    <mergeCell ref="G40:G52"/>
    <mergeCell ref="A40:A52"/>
    <mergeCell ref="B88:D88"/>
    <mergeCell ref="A25:A39"/>
    <mergeCell ref="B33:E33"/>
    <mergeCell ref="B87:E87"/>
    <mergeCell ref="B77:E77"/>
    <mergeCell ref="B73:E73"/>
    <mergeCell ref="B76:E76"/>
    <mergeCell ref="B61:E61"/>
    <mergeCell ref="B80:E80"/>
    <mergeCell ref="B81:E81"/>
    <mergeCell ref="B75:E75"/>
    <mergeCell ref="B71:E71"/>
    <mergeCell ref="A1:C1"/>
    <mergeCell ref="A2:E2"/>
    <mergeCell ref="B69:D69"/>
    <mergeCell ref="B24:D24"/>
    <mergeCell ref="B20:E20"/>
    <mergeCell ref="B3:E3"/>
    <mergeCell ref="B5:E5"/>
    <mergeCell ref="B15:E15"/>
    <mergeCell ref="B16:E16"/>
    <mergeCell ref="B58:E58"/>
    <mergeCell ref="B59:E59"/>
    <mergeCell ref="B42:E42"/>
    <mergeCell ref="B45:E45"/>
    <mergeCell ref="B62:E62"/>
    <mergeCell ref="B46:E46"/>
    <mergeCell ref="B43:E43"/>
  </mergeCells>
  <phoneticPr fontId="29" type="noConversion"/>
  <dataValidations count="1">
    <dataValidation type="whole" allowBlank="1" showErrorMessage="1" sqref="F83:F86 F48:F50 F65:F68 F35:F37 F18:F22 H83:CI86 H48:CI50 H65:CI68 H35:CI37 H18:CI22">
      <formula1>0</formula1>
      <formula2>3</formula2>
    </dataValidation>
  </dataValidations>
  <printOptions horizontalCentered="1"/>
  <pageMargins left="0.25" right="0.25" top="0.75" bottom="0.75" header="0.3" footer="0.3"/>
  <pageSetup scale="75" orientation="portrait" r:id="rId2"/>
  <headerFooter alignWithMargins="0">
    <oddFooter>&amp;LFieldS form Non-tidal&amp;R&amp;P</oddFooter>
  </headerFooter>
  <rowBreaks count="2" manualBreakCount="2">
    <brk id="2" max="5" man="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2A2DC"/>
  </sheetPr>
  <dimension ref="A1:HK58"/>
  <sheetViews>
    <sheetView zoomScaleNormal="100" workbookViewId="0">
      <selection activeCell="I39" sqref="I39"/>
    </sheetView>
  </sheetViews>
  <sheetFormatPr defaultColWidth="9.33203125" defaultRowHeight="30" customHeight="1" x14ac:dyDescent="0.2"/>
  <cols>
    <col min="1" max="1" width="7.6640625" style="569" bestFit="1" customWidth="1"/>
    <col min="2" max="2" width="25.83203125" style="916" customWidth="1"/>
    <col min="3" max="3" width="55.83203125" style="113" customWidth="1"/>
    <col min="4" max="4" width="10.83203125" style="570" customWidth="1"/>
    <col min="5" max="5" width="10.83203125" style="1193" customWidth="1"/>
    <col min="6" max="6" width="86.83203125" style="126" customWidth="1"/>
    <col min="7" max="7" width="13.33203125" style="601" customWidth="1"/>
    <col min="8" max="8" width="11.83203125" style="601" bestFit="1" customWidth="1"/>
    <col min="9" max="9" width="12.6640625" style="601" bestFit="1" customWidth="1"/>
    <col min="10" max="11" width="10.6640625" style="601" bestFit="1" customWidth="1"/>
    <col min="12" max="12" width="11.6640625" style="601" bestFit="1" customWidth="1"/>
    <col min="13" max="13" width="12.6640625" style="601" bestFit="1" customWidth="1"/>
    <col min="14" max="14" width="10.83203125" style="601" bestFit="1" customWidth="1"/>
    <col min="15" max="15" width="13.83203125" style="601" bestFit="1" customWidth="1"/>
    <col min="16" max="17" width="11.6640625" style="601" bestFit="1" customWidth="1"/>
    <col min="18" max="18" width="10.83203125" style="601" bestFit="1" customWidth="1"/>
    <col min="19" max="19" width="11.6640625" style="601" bestFit="1" customWidth="1"/>
    <col min="20" max="20" width="13.83203125" style="601" bestFit="1" customWidth="1"/>
    <col min="21" max="21" width="10.6640625" style="601" bestFit="1" customWidth="1"/>
    <col min="22" max="22" width="11.6640625" style="601" bestFit="1" customWidth="1"/>
    <col min="23" max="23" width="9.5" style="601" bestFit="1" customWidth="1"/>
    <col min="24" max="24" width="11.6640625" style="601" bestFit="1" customWidth="1"/>
    <col min="25" max="25" width="10.6640625" style="601" bestFit="1" customWidth="1"/>
    <col min="26" max="26" width="11.6640625" style="601" bestFit="1" customWidth="1"/>
    <col min="27" max="27" width="13.83203125" style="601" bestFit="1" customWidth="1"/>
    <col min="28" max="28" width="12.6640625" style="601" bestFit="1" customWidth="1"/>
    <col min="29" max="29" width="9.5" style="601" bestFit="1" customWidth="1"/>
    <col min="30" max="30" width="10.83203125" style="601" bestFit="1" customWidth="1"/>
    <col min="31" max="31" width="14.83203125" style="601" bestFit="1" customWidth="1"/>
    <col min="32" max="32" width="11.6640625" style="601" bestFit="1" customWidth="1"/>
    <col min="33" max="33" width="14.83203125" style="601" bestFit="1" customWidth="1"/>
    <col min="34" max="35" width="11.6640625" style="601" bestFit="1" customWidth="1"/>
    <col min="36" max="36" width="10.83203125" style="601" bestFit="1" customWidth="1"/>
    <col min="37" max="37" width="12.6640625" style="601" bestFit="1" customWidth="1"/>
    <col min="38" max="38" width="10.83203125" style="601" bestFit="1" customWidth="1"/>
    <col min="39" max="39" width="14.83203125" style="601" bestFit="1" customWidth="1"/>
    <col min="40" max="41" width="10.6640625" style="601" bestFit="1" customWidth="1"/>
    <col min="42" max="42" width="12.6640625" style="601" bestFit="1" customWidth="1"/>
    <col min="43" max="43" width="9.5" style="601" bestFit="1" customWidth="1"/>
    <col min="44" max="45" width="11.6640625" style="601" bestFit="1" customWidth="1"/>
    <col min="46" max="46" width="13.83203125" style="601" bestFit="1" customWidth="1"/>
    <col min="47" max="47" width="12.6640625" style="601" bestFit="1" customWidth="1"/>
    <col min="48" max="48" width="10.83203125" style="601" bestFit="1" customWidth="1"/>
    <col min="49" max="50" width="11.6640625" style="601" bestFit="1" customWidth="1"/>
    <col min="51" max="51" width="10.6640625" style="601" bestFit="1" customWidth="1"/>
    <col min="52" max="53" width="11.6640625" style="601" bestFit="1" customWidth="1"/>
    <col min="54" max="54" width="10.83203125" style="601" bestFit="1" customWidth="1"/>
    <col min="55" max="55" width="13.83203125" style="601" bestFit="1" customWidth="1"/>
    <col min="56" max="56" width="12.6640625" style="601" bestFit="1" customWidth="1"/>
    <col min="57" max="57" width="9.5" style="601" bestFit="1" customWidth="1"/>
    <col min="58" max="58" width="11.6640625" style="601" bestFit="1" customWidth="1"/>
    <col min="59" max="59" width="10.6640625" style="601" bestFit="1" customWidth="1"/>
    <col min="60" max="60" width="11.6640625" style="601" bestFit="1" customWidth="1"/>
    <col min="61" max="61" width="13.83203125" style="601" bestFit="1" customWidth="1"/>
    <col min="62" max="63" width="9.5" style="601" customWidth="1"/>
    <col min="64" max="65" width="12.6640625" style="601" bestFit="1" customWidth="1"/>
    <col min="66" max="66" width="11.6640625" style="601" bestFit="1" customWidth="1"/>
    <col min="67" max="69" width="12.6640625" style="601" bestFit="1" customWidth="1"/>
    <col min="70" max="70" width="10.6640625" style="601" bestFit="1" customWidth="1"/>
    <col min="71" max="71" width="13.83203125" style="601" bestFit="1" customWidth="1"/>
    <col min="72" max="72" width="10.6640625" style="601" bestFit="1" customWidth="1"/>
    <col min="73" max="73" width="11.6640625" style="601" bestFit="1" customWidth="1"/>
    <col min="74" max="75" width="10.6640625" style="601" bestFit="1" customWidth="1"/>
    <col min="76" max="76" width="11.6640625" style="601" bestFit="1" customWidth="1"/>
    <col min="77" max="77" width="10.6640625" style="601" bestFit="1" customWidth="1"/>
    <col min="78" max="78" width="10.83203125" style="601" bestFit="1" customWidth="1"/>
    <col min="79" max="79" width="12.6640625" style="601" bestFit="1" customWidth="1"/>
    <col min="80" max="81" width="11.6640625" style="601" bestFit="1" customWidth="1"/>
    <col min="82" max="82" width="12.83203125" style="601" bestFit="1" customWidth="1"/>
    <col min="83" max="83" width="13.83203125" style="601" bestFit="1" customWidth="1"/>
    <col min="84" max="84" width="11.6640625" style="601" bestFit="1" customWidth="1"/>
    <col min="85" max="85" width="10.6640625" style="601" bestFit="1" customWidth="1"/>
    <col min="86" max="87" width="11.6640625" style="601" bestFit="1" customWidth="1"/>
    <col min="88" max="88" width="13.83203125" style="601" bestFit="1" customWidth="1"/>
    <col min="89" max="89" width="9.5" style="601" bestFit="1" customWidth="1"/>
    <col min="90" max="90" width="11.6640625" style="601" bestFit="1" customWidth="1"/>
    <col min="91" max="91" width="9.5" style="601" bestFit="1" customWidth="1"/>
    <col min="92" max="92" width="13.83203125" style="601" bestFit="1" customWidth="1"/>
    <col min="93" max="93" width="11.6640625" style="601" bestFit="1" customWidth="1"/>
    <col min="94" max="94" width="11.83203125" style="602" bestFit="1" customWidth="1"/>
    <col min="95" max="95" width="12.6640625" style="602" bestFit="1" customWidth="1"/>
    <col min="96" max="96" width="10.83203125" style="603" bestFit="1" customWidth="1"/>
    <col min="97" max="97" width="11.6640625" style="603" bestFit="1" customWidth="1"/>
    <col min="98" max="98" width="11.83203125" style="603" bestFit="1" customWidth="1"/>
    <col min="99" max="99" width="12.6640625" style="603" bestFit="1" customWidth="1"/>
    <col min="100" max="101" width="11.6640625" style="603" bestFit="1" customWidth="1"/>
    <col min="102" max="102" width="11.83203125" style="603" bestFit="1" customWidth="1"/>
    <col min="103" max="103" width="12.6640625" style="603" bestFit="1" customWidth="1"/>
    <col min="104" max="104" width="11.83203125" style="603" bestFit="1" customWidth="1"/>
    <col min="105" max="105" width="12.6640625" style="603" bestFit="1" customWidth="1"/>
    <col min="106" max="106" width="11.6640625" style="603" bestFit="1" customWidth="1"/>
    <col min="107" max="107" width="12.6640625" style="603" bestFit="1" customWidth="1"/>
    <col min="108" max="109" width="11.6640625" style="603" bestFit="1" customWidth="1"/>
    <col min="110" max="110" width="12.6640625" style="603" bestFit="1" customWidth="1"/>
    <col min="111" max="111" width="10.6640625" style="603" bestFit="1" customWidth="1"/>
    <col min="112" max="112" width="14" style="603" bestFit="1" customWidth="1"/>
    <col min="113" max="113" width="10.6640625" style="603" bestFit="1" customWidth="1"/>
    <col min="114" max="114" width="11.6640625" style="603" bestFit="1" customWidth="1"/>
    <col min="115" max="115" width="9.5" style="603" bestFit="1" customWidth="1"/>
    <col min="116" max="116" width="12.83203125" style="603" bestFit="1" customWidth="1"/>
    <col min="117" max="117" width="10.6640625" style="603" bestFit="1" customWidth="1"/>
    <col min="118" max="118" width="11.83203125" style="603" bestFit="1" customWidth="1"/>
    <col min="119" max="119" width="14.83203125" style="603" bestFit="1" customWidth="1"/>
    <col min="120" max="120" width="13.83203125" style="603" bestFit="1" customWidth="1"/>
    <col min="121" max="121" width="12.6640625" style="603" bestFit="1" customWidth="1"/>
    <col min="122" max="122" width="11.83203125" style="603" bestFit="1" customWidth="1"/>
    <col min="123" max="123" width="10.6640625" style="603" bestFit="1" customWidth="1"/>
    <col min="124" max="124" width="12.6640625" style="603" bestFit="1" customWidth="1"/>
    <col min="125" max="125" width="14.83203125" style="603" bestFit="1" customWidth="1"/>
    <col min="126" max="127" width="11.6640625" style="603" bestFit="1" customWidth="1"/>
    <col min="128" max="128" width="12.6640625" style="603" bestFit="1" customWidth="1"/>
    <col min="129" max="129" width="9.5" style="603" bestFit="1" customWidth="1"/>
    <col min="130" max="130" width="10.83203125" style="603" bestFit="1" customWidth="1"/>
    <col min="131" max="131" width="13.83203125" style="603" bestFit="1" customWidth="1"/>
    <col min="132" max="132" width="11.6640625" style="603" bestFit="1" customWidth="1"/>
    <col min="133" max="133" width="13.83203125" style="603" bestFit="1" customWidth="1"/>
    <col min="134" max="134" width="11.83203125" style="603" bestFit="1" customWidth="1"/>
    <col min="135" max="135" width="12.6640625" style="603" bestFit="1" customWidth="1"/>
    <col min="136" max="136" width="11.6640625" style="603" bestFit="1" customWidth="1"/>
    <col min="137" max="137" width="10.6640625" style="603" bestFit="1" customWidth="1"/>
    <col min="138" max="138" width="12.83203125" style="603" bestFit="1" customWidth="1"/>
    <col min="139" max="139" width="13.83203125" style="603" bestFit="1" customWidth="1"/>
    <col min="140" max="140" width="11.83203125" style="603" bestFit="1" customWidth="1"/>
    <col min="141" max="141" width="13.83203125" style="603" bestFit="1" customWidth="1"/>
    <col min="142" max="142" width="12.6640625" style="603" bestFit="1" customWidth="1"/>
    <col min="143" max="143" width="9.6640625" style="603" bestFit="1" customWidth="1"/>
    <col min="144" max="144" width="11.6640625" style="603" bestFit="1" customWidth="1"/>
    <col min="145" max="145" width="9.5" style="603" bestFit="1" customWidth="1"/>
    <col min="146" max="146" width="11.6640625" style="603" bestFit="1" customWidth="1"/>
    <col min="147" max="147" width="9.6640625" style="603" bestFit="1" customWidth="1"/>
    <col min="148" max="148" width="11.6640625" style="603" bestFit="1" customWidth="1"/>
    <col min="149" max="149" width="14.83203125" style="603" bestFit="1" customWidth="1"/>
    <col min="150" max="150" width="11.83203125" style="603" bestFit="1" customWidth="1"/>
    <col min="151" max="151" width="13.83203125" style="603" bestFit="1" customWidth="1"/>
    <col min="152" max="153" width="11.6640625" style="603" bestFit="1" customWidth="1"/>
    <col min="154" max="154" width="12.83203125" style="603" bestFit="1" customWidth="1"/>
    <col min="155" max="155" width="13.83203125" style="603" bestFit="1" customWidth="1"/>
    <col min="156" max="156" width="11.6640625" style="603" bestFit="1" customWidth="1"/>
    <col min="157" max="157" width="13.83203125" style="603" bestFit="1" customWidth="1"/>
    <col min="158" max="158" width="11.83203125" style="603" bestFit="1" customWidth="1"/>
    <col min="159" max="159" width="13.83203125" style="603" bestFit="1" customWidth="1"/>
    <col min="160" max="160" width="11.83203125" style="603" bestFit="1" customWidth="1"/>
    <col min="161" max="162" width="12.6640625" style="603" bestFit="1" customWidth="1"/>
    <col min="163" max="163" width="9.5" style="603" bestFit="1" customWidth="1"/>
    <col min="164" max="164" width="11.6640625" style="603" bestFit="1" customWidth="1"/>
    <col min="165" max="165" width="12.6640625" style="603" bestFit="1" customWidth="1"/>
    <col min="166" max="166" width="11.6640625" style="603" bestFit="1" customWidth="1"/>
    <col min="167" max="167" width="9.5" style="603" bestFit="1" customWidth="1"/>
    <col min="168" max="168" width="11.6640625" style="603" bestFit="1" customWidth="1"/>
    <col min="169" max="169" width="12.6640625" style="603" bestFit="1" customWidth="1"/>
    <col min="170" max="170" width="10.6640625" style="603" bestFit="1" customWidth="1"/>
    <col min="171" max="171" width="12.6640625" style="603" bestFit="1" customWidth="1"/>
    <col min="172" max="172" width="11.6640625" style="603" bestFit="1" customWidth="1"/>
    <col min="173" max="173" width="13.83203125" style="603" bestFit="1" customWidth="1"/>
    <col min="174" max="174" width="11.83203125" style="603" bestFit="1" customWidth="1"/>
    <col min="175" max="175" width="13.83203125" style="603" bestFit="1" customWidth="1"/>
    <col min="176" max="176" width="10.83203125" style="603" bestFit="1" customWidth="1"/>
    <col min="177" max="177" width="12.6640625" style="603" bestFit="1" customWidth="1"/>
    <col min="178" max="178" width="10.6640625" style="603" bestFit="1" customWidth="1"/>
    <col min="179" max="179" width="13.83203125" style="603" bestFit="1" customWidth="1"/>
    <col min="180" max="180" width="12.83203125" style="603" bestFit="1" customWidth="1"/>
    <col min="181" max="181" width="9.5" style="603" bestFit="1" customWidth="1"/>
    <col min="182" max="182" width="11.6640625" style="603" bestFit="1" customWidth="1"/>
    <col min="183" max="183" width="13.83203125" style="603" bestFit="1" customWidth="1"/>
    <col min="184" max="186" width="11.6640625" style="603" bestFit="1" customWidth="1"/>
    <col min="187" max="187" width="12.6640625" style="603" bestFit="1" customWidth="1"/>
    <col min="188" max="188" width="12.83203125" style="603" bestFit="1" customWidth="1"/>
    <col min="189" max="189" width="14.83203125" style="603" bestFit="1" customWidth="1"/>
    <col min="190" max="190" width="12.6640625" style="603" bestFit="1" customWidth="1"/>
    <col min="191" max="191" width="10.6640625" style="603" bestFit="1" customWidth="1"/>
    <col min="192" max="193" width="11.6640625" style="603" bestFit="1" customWidth="1"/>
    <col min="194" max="195" width="12.6640625" style="603" bestFit="1" customWidth="1"/>
    <col min="196" max="200" width="11.6640625" style="603" bestFit="1" customWidth="1"/>
    <col min="201" max="201" width="12.6640625" style="603" bestFit="1" customWidth="1"/>
    <col min="202" max="202" width="11.6640625" style="603" bestFit="1" customWidth="1"/>
    <col min="203" max="203" width="10.6640625" style="603" bestFit="1" customWidth="1"/>
    <col min="204" max="204" width="12.6640625" style="603" bestFit="1" customWidth="1"/>
    <col min="205" max="205" width="11.6640625" style="603" bestFit="1" customWidth="1"/>
    <col min="206" max="206" width="10.83203125" style="603" bestFit="1" customWidth="1"/>
    <col min="207" max="207" width="11.6640625" style="603" bestFit="1" customWidth="1"/>
    <col min="208" max="208" width="12.6640625" style="603" bestFit="1" customWidth="1"/>
    <col min="209" max="210" width="11.6640625" style="603" bestFit="1" customWidth="1"/>
    <col min="211" max="211" width="9.6640625" style="603" bestFit="1" customWidth="1"/>
    <col min="212" max="212" width="10.83203125" style="603" bestFit="1" customWidth="1"/>
    <col min="213" max="213" width="9.6640625" style="603" bestFit="1" customWidth="1"/>
    <col min="214" max="214" width="11.6640625" style="603" bestFit="1" customWidth="1"/>
    <col min="215" max="215" width="9.6640625" style="603" bestFit="1" customWidth="1"/>
    <col min="216" max="216" width="11.6640625" style="603" bestFit="1" customWidth="1"/>
    <col min="217" max="217" width="9.6640625" style="603" bestFit="1" customWidth="1"/>
    <col min="218" max="218" width="10.6640625" style="603" bestFit="1" customWidth="1"/>
    <col min="219" max="219" width="9.6640625" style="603" bestFit="1" customWidth="1"/>
    <col min="220" max="220" width="10.6640625" style="568" bestFit="1" customWidth="1"/>
    <col min="221" max="221" width="9.33203125" style="568"/>
    <col min="222" max="222" width="10.6640625" style="568" bestFit="1" customWidth="1"/>
    <col min="223" max="223" width="9.33203125" style="568"/>
    <col min="224" max="224" width="12.6640625" style="568" bestFit="1" customWidth="1"/>
    <col min="225" max="225" width="9.33203125" style="568"/>
    <col min="226" max="226" width="10.6640625" style="568" bestFit="1" customWidth="1"/>
    <col min="227" max="227" width="9.33203125" style="568"/>
    <col min="228" max="228" width="12.6640625" style="568" bestFit="1" customWidth="1"/>
    <col min="229" max="229" width="9.33203125" style="568"/>
    <col min="230" max="230" width="9.6640625" style="568" bestFit="1" customWidth="1"/>
    <col min="231" max="231" width="9.33203125" style="568"/>
    <col min="232" max="232" width="12.6640625" style="568" bestFit="1" customWidth="1"/>
    <col min="233" max="233" width="9.33203125" style="568"/>
    <col min="234" max="234" width="10.6640625" style="568" bestFit="1" customWidth="1"/>
    <col min="235" max="235" width="9.33203125" style="568"/>
    <col min="236" max="236" width="10.6640625" style="568" bestFit="1" customWidth="1"/>
    <col min="237" max="237" width="9.33203125" style="568"/>
    <col min="238" max="238" width="11.6640625" style="568" bestFit="1" customWidth="1"/>
    <col min="239" max="239" width="9.33203125" style="568"/>
    <col min="240" max="240" width="12.6640625" style="568" bestFit="1" customWidth="1"/>
    <col min="241" max="241" width="9.33203125" style="568"/>
    <col min="242" max="242" width="11.6640625" style="568" bestFit="1" customWidth="1"/>
    <col min="243" max="243" width="9.33203125" style="568"/>
    <col min="244" max="244" width="11.6640625" style="568" bestFit="1" customWidth="1"/>
    <col min="245" max="245" width="9.33203125" style="568"/>
    <col min="246" max="246" width="11.6640625" style="568" bestFit="1" customWidth="1"/>
    <col min="247" max="247" width="9.33203125" style="568"/>
    <col min="248" max="248" width="9.6640625" style="568" bestFit="1" customWidth="1"/>
    <col min="249" max="249" width="9.33203125" style="568"/>
    <col min="250" max="250" width="9.6640625" style="568" bestFit="1" customWidth="1"/>
    <col min="251" max="251" width="9.33203125" style="568"/>
    <col min="252" max="252" width="10.6640625" style="568" bestFit="1" customWidth="1"/>
    <col min="253" max="253" width="9.33203125" style="568"/>
    <col min="254" max="254" width="10.6640625" style="568" bestFit="1" customWidth="1"/>
    <col min="255" max="255" width="9.33203125" style="568"/>
    <col min="256" max="256" width="9.6640625" style="568" bestFit="1" customWidth="1"/>
    <col min="257" max="257" width="9.33203125" style="568"/>
    <col min="258" max="258" width="10.6640625" style="568" bestFit="1" customWidth="1"/>
    <col min="259" max="259" width="9.33203125" style="568"/>
    <col min="260" max="260" width="10.6640625" style="568" bestFit="1" customWidth="1"/>
    <col min="261" max="261" width="9.33203125" style="568"/>
    <col min="262" max="262" width="10.6640625" style="568" bestFit="1" customWidth="1"/>
    <col min="263" max="263" width="9.33203125" style="568"/>
    <col min="264" max="264" width="9.6640625" style="568" bestFit="1" customWidth="1"/>
    <col min="265" max="265" width="9.33203125" style="568"/>
    <col min="266" max="266" width="11.6640625" style="568" bestFit="1" customWidth="1"/>
    <col min="267" max="267" width="9.33203125" style="568"/>
    <col min="268" max="268" width="10.6640625" style="568" bestFit="1" customWidth="1"/>
    <col min="269" max="269" width="9.33203125" style="568"/>
    <col min="270" max="270" width="10.6640625" style="568" bestFit="1" customWidth="1"/>
    <col min="271" max="271" width="9.33203125" style="568"/>
    <col min="272" max="272" width="10.6640625" style="568" bestFit="1" customWidth="1"/>
    <col min="273" max="273" width="9.33203125" style="568"/>
    <col min="274" max="274" width="11.6640625" style="568" bestFit="1" customWidth="1"/>
    <col min="275" max="275" width="9.33203125" style="568"/>
    <col min="276" max="276" width="10.6640625" style="568" bestFit="1" customWidth="1"/>
    <col min="277" max="277" width="9.33203125" style="568"/>
    <col min="278" max="278" width="9.6640625" style="568" bestFit="1" customWidth="1"/>
    <col min="279" max="279" width="9.33203125" style="568"/>
    <col min="280" max="280" width="12.6640625" style="568" bestFit="1" customWidth="1"/>
    <col min="281" max="281" width="9.33203125" style="568"/>
    <col min="282" max="282" width="10.6640625" style="568" bestFit="1" customWidth="1"/>
    <col min="283" max="283" width="9.33203125" style="568"/>
    <col min="284" max="284" width="11.6640625" style="568" bestFit="1" customWidth="1"/>
    <col min="285" max="285" width="9.33203125" style="568"/>
    <col min="286" max="286" width="11.6640625" style="568" bestFit="1" customWidth="1"/>
    <col min="287" max="287" width="9.33203125" style="568"/>
    <col min="288" max="288" width="9.6640625" style="568" bestFit="1" customWidth="1"/>
    <col min="289" max="289" width="9.33203125" style="568"/>
    <col min="290" max="290" width="9.6640625" style="568" bestFit="1" customWidth="1"/>
    <col min="291" max="291" width="9.33203125" style="568"/>
    <col min="292" max="292" width="10.6640625" style="568" bestFit="1" customWidth="1"/>
    <col min="293" max="293" width="9.33203125" style="568"/>
    <col min="294" max="294" width="11.6640625" style="568" bestFit="1" customWidth="1"/>
    <col min="295" max="295" width="9.33203125" style="568"/>
    <col min="296" max="296" width="11.6640625" style="568" bestFit="1" customWidth="1"/>
    <col min="297" max="297" width="9.33203125" style="568"/>
    <col min="298" max="298" width="11.6640625" style="568" bestFit="1" customWidth="1"/>
    <col min="299" max="299" width="9.33203125" style="568"/>
    <col min="300" max="300" width="9.6640625" style="568" bestFit="1" customWidth="1"/>
    <col min="301" max="301" width="9.33203125" style="568"/>
    <col min="302" max="302" width="9.6640625" style="568" bestFit="1" customWidth="1"/>
    <col min="303" max="303" width="9.33203125" style="568"/>
    <col min="304" max="304" width="11.6640625" style="568" bestFit="1" customWidth="1"/>
    <col min="305" max="305" width="9.33203125" style="568"/>
    <col min="306" max="306" width="10.6640625" style="568" bestFit="1" customWidth="1"/>
    <col min="307" max="307" width="9.33203125" style="568"/>
    <col min="308" max="308" width="10.6640625" style="568" bestFit="1" customWidth="1"/>
    <col min="309" max="309" width="9.33203125" style="568"/>
    <col min="310" max="310" width="11.6640625" style="568" bestFit="1" customWidth="1"/>
    <col min="311" max="311" width="9.33203125" style="568"/>
    <col min="312" max="312" width="11.6640625" style="568" bestFit="1" customWidth="1"/>
    <col min="313" max="313" width="9.33203125" style="568"/>
    <col min="314" max="314" width="10.6640625" style="568" bestFit="1" customWidth="1"/>
    <col min="315" max="315" width="9.33203125" style="568"/>
    <col min="316" max="316" width="9.6640625" style="568" bestFit="1" customWidth="1"/>
    <col min="317" max="317" width="9.33203125" style="568"/>
    <col min="318" max="318" width="10.6640625" style="568" bestFit="1" customWidth="1"/>
    <col min="319" max="319" width="9.33203125" style="568"/>
    <col min="320" max="320" width="11.6640625" style="568" bestFit="1" customWidth="1"/>
    <col min="321" max="321" width="9.33203125" style="568"/>
    <col min="322" max="322" width="10.6640625" style="568" bestFit="1" customWidth="1"/>
    <col min="323" max="323" width="9.33203125" style="568"/>
    <col min="324" max="324" width="10.6640625" style="568" bestFit="1" customWidth="1"/>
    <col min="325" max="325" width="9.33203125" style="568"/>
    <col min="326" max="326" width="10.6640625" style="568" bestFit="1" customWidth="1"/>
    <col min="327" max="327" width="9.33203125" style="568"/>
    <col min="328" max="328" width="10.6640625" style="568" bestFit="1" customWidth="1"/>
    <col min="329" max="329" width="9.33203125" style="568"/>
    <col min="330" max="330" width="12.6640625" style="568" bestFit="1" customWidth="1"/>
    <col min="331" max="331" width="9.33203125" style="568"/>
    <col min="332" max="332" width="10.6640625" style="568" bestFit="1" customWidth="1"/>
    <col min="333" max="333" width="9.33203125" style="568"/>
    <col min="334" max="334" width="12.6640625" style="568" bestFit="1" customWidth="1"/>
    <col min="335" max="337" width="9.33203125" style="568"/>
    <col min="338" max="338" width="10.6640625" style="568" bestFit="1" customWidth="1"/>
    <col min="339" max="339" width="9.33203125" style="568"/>
    <col min="340" max="340" width="11.6640625" style="568" bestFit="1" customWidth="1"/>
    <col min="341" max="341" width="9.33203125" style="568"/>
    <col min="342" max="342" width="10.6640625" style="568" bestFit="1" customWidth="1"/>
    <col min="343" max="343" width="9.33203125" style="568"/>
    <col min="344" max="344" width="10.6640625" style="568" bestFit="1" customWidth="1"/>
    <col min="345" max="345" width="9.33203125" style="568"/>
    <col min="346" max="346" width="9.6640625" style="568" bestFit="1" customWidth="1"/>
    <col min="347" max="347" width="9.33203125" style="568"/>
    <col min="348" max="348" width="10.6640625" style="568" bestFit="1" customWidth="1"/>
    <col min="349" max="349" width="9.33203125" style="568"/>
    <col min="350" max="350" width="9.6640625" style="568" bestFit="1" customWidth="1"/>
    <col min="351" max="351" width="9.33203125" style="568"/>
    <col min="352" max="352" width="10.6640625" style="568" bestFit="1" customWidth="1"/>
    <col min="353" max="16384" width="9.33203125" style="568"/>
  </cols>
  <sheetData>
    <row r="1" spans="1:219" s="1187" customFormat="1" ht="16.5" thickBot="1" x14ac:dyDescent="0.3">
      <c r="A1" s="1184" t="s">
        <v>78</v>
      </c>
      <c r="B1" s="1185" t="s">
        <v>890</v>
      </c>
      <c r="C1" s="1186" t="s">
        <v>77</v>
      </c>
      <c r="D1" s="1220"/>
      <c r="E1" s="1221"/>
      <c r="F1" s="1718" t="s">
        <v>889</v>
      </c>
    </row>
    <row r="2" spans="1:219" s="1189" customFormat="1" ht="30" customHeight="1" thickBot="1" x14ac:dyDescent="0.25">
      <c r="A2" s="539" t="s">
        <v>922</v>
      </c>
      <c r="B2" s="331" t="s">
        <v>827</v>
      </c>
      <c r="C2" s="464" t="s">
        <v>898</v>
      </c>
      <c r="D2" s="645"/>
      <c r="E2" s="1188"/>
      <c r="F2" s="1719" t="s">
        <v>1271</v>
      </c>
    </row>
    <row r="3" spans="1:219" s="1191" customFormat="1" ht="30" customHeight="1" thickBot="1" x14ac:dyDescent="0.25">
      <c r="A3" s="567" t="s">
        <v>923</v>
      </c>
      <c r="B3" s="351" t="s">
        <v>690</v>
      </c>
      <c r="C3" s="1180" t="s">
        <v>676</v>
      </c>
      <c r="D3" s="646"/>
      <c r="E3" s="1190"/>
      <c r="F3" s="1719" t="s">
        <v>2013</v>
      </c>
    </row>
    <row r="4" spans="1:219" ht="30" customHeight="1" thickBot="1" x14ac:dyDescent="0.25">
      <c r="A4" s="539" t="s">
        <v>924</v>
      </c>
      <c r="B4" s="331" t="s">
        <v>843</v>
      </c>
      <c r="C4" s="464" t="s">
        <v>844</v>
      </c>
      <c r="D4" s="645"/>
      <c r="E4" s="1188"/>
      <c r="F4" s="1719" t="s">
        <v>888</v>
      </c>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c r="CU4" s="568"/>
      <c r="CV4" s="568"/>
      <c r="CW4" s="568"/>
      <c r="CX4" s="568"/>
      <c r="CY4" s="568"/>
      <c r="CZ4" s="568"/>
      <c r="DA4" s="568"/>
      <c r="DB4" s="568"/>
      <c r="DC4" s="568"/>
      <c r="DD4" s="568"/>
      <c r="DE4" s="568"/>
      <c r="DF4" s="568"/>
      <c r="DG4" s="568"/>
      <c r="DH4" s="568"/>
      <c r="DI4" s="568"/>
      <c r="DJ4" s="568"/>
      <c r="DK4" s="568"/>
      <c r="DL4" s="568"/>
      <c r="DM4" s="568"/>
      <c r="DN4" s="568"/>
      <c r="DO4" s="568"/>
      <c r="DP4" s="568"/>
      <c r="DQ4" s="568"/>
      <c r="DR4" s="568"/>
      <c r="DS4" s="568"/>
      <c r="DT4" s="568"/>
      <c r="DU4" s="568"/>
      <c r="DV4" s="568"/>
      <c r="DW4" s="568"/>
      <c r="DX4" s="568"/>
      <c r="DY4" s="568"/>
      <c r="DZ4" s="568"/>
      <c r="EA4" s="568"/>
      <c r="EB4" s="568"/>
      <c r="EC4" s="568"/>
      <c r="ED4" s="568"/>
      <c r="EE4" s="568"/>
      <c r="EF4" s="568"/>
      <c r="EG4" s="568"/>
      <c r="EH4" s="568"/>
      <c r="EI4" s="568"/>
      <c r="EJ4" s="568"/>
      <c r="EK4" s="568"/>
      <c r="EL4" s="568"/>
      <c r="EM4" s="568"/>
      <c r="EN4" s="568"/>
      <c r="EO4" s="568"/>
      <c r="EP4" s="568"/>
      <c r="EQ4" s="568"/>
      <c r="ER4" s="568"/>
      <c r="ES4" s="568"/>
      <c r="ET4" s="568"/>
      <c r="EU4" s="568"/>
      <c r="EV4" s="568"/>
      <c r="EW4" s="568"/>
      <c r="EX4" s="568"/>
      <c r="EY4" s="568"/>
      <c r="EZ4" s="568"/>
      <c r="FA4" s="568"/>
      <c r="FB4" s="568"/>
      <c r="FC4" s="568"/>
      <c r="FD4" s="568"/>
      <c r="FE4" s="568"/>
      <c r="FF4" s="568"/>
      <c r="FG4" s="568"/>
      <c r="FH4" s="568"/>
      <c r="FI4" s="568"/>
      <c r="FJ4" s="568"/>
      <c r="FK4" s="568"/>
      <c r="FL4" s="568"/>
      <c r="FM4" s="568"/>
      <c r="FN4" s="568"/>
      <c r="FO4" s="568"/>
      <c r="FP4" s="568"/>
      <c r="FQ4" s="568"/>
      <c r="FR4" s="568"/>
      <c r="FS4" s="568"/>
      <c r="FT4" s="568"/>
      <c r="FU4" s="568"/>
      <c r="FV4" s="568"/>
      <c r="FW4" s="568"/>
      <c r="FX4" s="568"/>
      <c r="FY4" s="568"/>
      <c r="FZ4" s="568"/>
      <c r="GA4" s="568"/>
      <c r="GB4" s="568"/>
      <c r="GC4" s="568"/>
      <c r="GD4" s="568"/>
      <c r="GE4" s="568"/>
      <c r="GF4" s="568"/>
      <c r="GG4" s="568"/>
      <c r="GH4" s="568"/>
      <c r="GI4" s="568"/>
      <c r="GJ4" s="568"/>
      <c r="GK4" s="568"/>
      <c r="GL4" s="568"/>
      <c r="GM4" s="568"/>
      <c r="GN4" s="568"/>
      <c r="GO4" s="568"/>
      <c r="GP4" s="568"/>
      <c r="GQ4" s="568"/>
      <c r="GR4" s="568"/>
      <c r="GS4" s="568"/>
      <c r="GT4" s="568"/>
      <c r="GU4" s="568"/>
      <c r="GV4" s="568"/>
      <c r="GW4" s="568"/>
      <c r="GX4" s="568"/>
      <c r="GY4" s="568"/>
      <c r="GZ4" s="568"/>
      <c r="HA4" s="568"/>
      <c r="HB4" s="568"/>
      <c r="HC4" s="568"/>
      <c r="HD4" s="568"/>
      <c r="HE4" s="568"/>
      <c r="HF4" s="568"/>
      <c r="HG4" s="568"/>
      <c r="HH4" s="568"/>
      <c r="HI4" s="568"/>
      <c r="HJ4" s="568"/>
      <c r="HK4" s="568"/>
    </row>
    <row r="5" spans="1:219" ht="30" customHeight="1" thickBot="1" x14ac:dyDescent="0.25">
      <c r="A5" s="539" t="s">
        <v>925</v>
      </c>
      <c r="B5" s="351" t="s">
        <v>806</v>
      </c>
      <c r="C5" s="1180" t="s">
        <v>684</v>
      </c>
      <c r="D5" s="646"/>
      <c r="E5" s="1190"/>
      <c r="F5" s="1720" t="s">
        <v>1971</v>
      </c>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568"/>
      <c r="AX5" s="568"/>
      <c r="AY5" s="568"/>
      <c r="AZ5" s="568"/>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c r="CU5" s="568"/>
      <c r="CV5" s="568"/>
      <c r="CW5" s="568"/>
      <c r="CX5" s="568"/>
      <c r="CY5" s="568"/>
      <c r="CZ5" s="568"/>
      <c r="DA5" s="568"/>
      <c r="DB5" s="568"/>
      <c r="DC5" s="568"/>
      <c r="DD5" s="568"/>
      <c r="DE5" s="568"/>
      <c r="DF5" s="568"/>
      <c r="DG5" s="568"/>
      <c r="DH5" s="568"/>
      <c r="DI5" s="568"/>
      <c r="DJ5" s="568"/>
      <c r="DK5" s="568"/>
      <c r="DL5" s="568"/>
      <c r="DM5" s="568"/>
      <c r="DN5" s="568"/>
      <c r="DO5" s="568"/>
      <c r="DP5" s="568"/>
      <c r="DQ5" s="568"/>
      <c r="DR5" s="568"/>
      <c r="DS5" s="568"/>
      <c r="DT5" s="568"/>
      <c r="DU5" s="568"/>
      <c r="DV5" s="568"/>
      <c r="DW5" s="568"/>
      <c r="DX5" s="568"/>
      <c r="DY5" s="568"/>
      <c r="DZ5" s="568"/>
      <c r="EA5" s="568"/>
      <c r="EB5" s="568"/>
      <c r="EC5" s="568"/>
      <c r="ED5" s="568"/>
      <c r="EE5" s="568"/>
      <c r="EF5" s="568"/>
      <c r="EG5" s="568"/>
      <c r="EH5" s="568"/>
      <c r="EI5" s="568"/>
      <c r="EJ5" s="568"/>
      <c r="EK5" s="568"/>
      <c r="EL5" s="568"/>
      <c r="EM5" s="568"/>
      <c r="EN5" s="568"/>
      <c r="EO5" s="568"/>
      <c r="EP5" s="568"/>
      <c r="EQ5" s="568"/>
      <c r="ER5" s="568"/>
      <c r="ES5" s="568"/>
      <c r="ET5" s="568"/>
      <c r="EU5" s="568"/>
      <c r="EV5" s="568"/>
      <c r="EW5" s="568"/>
      <c r="EX5" s="568"/>
      <c r="EY5" s="568"/>
      <c r="EZ5" s="568"/>
      <c r="FA5" s="568"/>
      <c r="FB5" s="568"/>
      <c r="FC5" s="568"/>
      <c r="FD5" s="568"/>
      <c r="FE5" s="568"/>
      <c r="FF5" s="568"/>
      <c r="FG5" s="568"/>
      <c r="FH5" s="568"/>
      <c r="FI5" s="568"/>
      <c r="FJ5" s="568"/>
      <c r="FK5" s="568"/>
      <c r="FL5" s="568"/>
      <c r="FM5" s="568"/>
      <c r="FN5" s="568"/>
      <c r="FO5" s="568"/>
      <c r="FP5" s="568"/>
      <c r="FQ5" s="568"/>
      <c r="FR5" s="568"/>
      <c r="FS5" s="568"/>
      <c r="FT5" s="568"/>
      <c r="FU5" s="568"/>
      <c r="FV5" s="568"/>
      <c r="FW5" s="568"/>
      <c r="FX5" s="568"/>
      <c r="FY5" s="568"/>
      <c r="FZ5" s="568"/>
      <c r="GA5" s="568"/>
      <c r="GB5" s="568"/>
      <c r="GC5" s="568"/>
      <c r="GD5" s="568"/>
      <c r="GE5" s="568"/>
      <c r="GF5" s="568"/>
      <c r="GG5" s="568"/>
      <c r="GH5" s="568"/>
      <c r="GI5" s="568"/>
      <c r="GJ5" s="568"/>
      <c r="GK5" s="568"/>
      <c r="GL5" s="568"/>
      <c r="GM5" s="568"/>
      <c r="GN5" s="568"/>
      <c r="GO5" s="568"/>
      <c r="GP5" s="568"/>
      <c r="GQ5" s="568"/>
      <c r="GR5" s="568"/>
      <c r="GS5" s="568"/>
      <c r="GT5" s="568"/>
      <c r="GU5" s="568"/>
      <c r="GV5" s="568"/>
      <c r="GW5" s="568"/>
      <c r="GX5" s="568"/>
      <c r="GY5" s="568"/>
      <c r="GZ5" s="568"/>
      <c r="HA5" s="568"/>
      <c r="HB5" s="568"/>
      <c r="HC5" s="568"/>
      <c r="HD5" s="568"/>
      <c r="HE5" s="568"/>
      <c r="HF5" s="568"/>
      <c r="HG5" s="568"/>
      <c r="HH5" s="568"/>
      <c r="HI5" s="568"/>
      <c r="HJ5" s="568"/>
      <c r="HK5" s="568"/>
    </row>
    <row r="6" spans="1:219" ht="30" customHeight="1" thickBot="1" x14ac:dyDescent="0.25">
      <c r="A6" s="567" t="s">
        <v>926</v>
      </c>
      <c r="B6" s="331" t="s">
        <v>685</v>
      </c>
      <c r="C6" s="464" t="s">
        <v>826</v>
      </c>
      <c r="D6" s="645"/>
      <c r="E6" s="1188"/>
      <c r="F6" s="1721" t="s">
        <v>1970</v>
      </c>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568"/>
      <c r="AV6" s="568"/>
      <c r="AW6" s="568"/>
      <c r="AX6" s="568"/>
      <c r="AY6" s="568"/>
      <c r="AZ6" s="568"/>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c r="CU6" s="568"/>
      <c r="CV6" s="568"/>
      <c r="CW6" s="568"/>
      <c r="CX6" s="568"/>
      <c r="CY6" s="568"/>
      <c r="CZ6" s="568"/>
      <c r="DA6" s="568"/>
      <c r="DB6" s="568"/>
      <c r="DC6" s="568"/>
      <c r="DD6" s="568"/>
      <c r="DE6" s="568"/>
      <c r="DF6" s="568"/>
      <c r="DG6" s="568"/>
      <c r="DH6" s="568"/>
      <c r="DI6" s="568"/>
      <c r="DJ6" s="568"/>
      <c r="DK6" s="568"/>
      <c r="DL6" s="568"/>
      <c r="DM6" s="568"/>
      <c r="DN6" s="568"/>
      <c r="DO6" s="568"/>
      <c r="DP6" s="568"/>
      <c r="DQ6" s="568"/>
      <c r="DR6" s="568"/>
      <c r="DS6" s="568"/>
      <c r="DT6" s="568"/>
      <c r="DU6" s="568"/>
      <c r="DV6" s="568"/>
      <c r="DW6" s="568"/>
      <c r="DX6" s="568"/>
      <c r="DY6" s="568"/>
      <c r="DZ6" s="568"/>
      <c r="EA6" s="568"/>
      <c r="EB6" s="568"/>
      <c r="EC6" s="568"/>
      <c r="ED6" s="568"/>
      <c r="EE6" s="568"/>
      <c r="EF6" s="568"/>
      <c r="EG6" s="568"/>
      <c r="EH6" s="568"/>
      <c r="EI6" s="568"/>
      <c r="EJ6" s="568"/>
      <c r="EK6" s="568"/>
      <c r="EL6" s="568"/>
      <c r="EM6" s="568"/>
      <c r="EN6" s="568"/>
      <c r="EO6" s="568"/>
      <c r="EP6" s="568"/>
      <c r="EQ6" s="568"/>
      <c r="ER6" s="568"/>
      <c r="ES6" s="568"/>
      <c r="ET6" s="568"/>
      <c r="EU6" s="568"/>
      <c r="EV6" s="568"/>
      <c r="EW6" s="568"/>
      <c r="EX6" s="568"/>
      <c r="EY6" s="568"/>
      <c r="EZ6" s="568"/>
      <c r="FA6" s="568"/>
      <c r="FB6" s="568"/>
      <c r="FC6" s="568"/>
      <c r="FD6" s="568"/>
      <c r="FE6" s="568"/>
      <c r="FF6" s="568"/>
      <c r="FG6" s="568"/>
      <c r="FH6" s="568"/>
      <c r="FI6" s="568"/>
      <c r="FJ6" s="568"/>
      <c r="FK6" s="568"/>
      <c r="FL6" s="568"/>
      <c r="FM6" s="568"/>
      <c r="FN6" s="568"/>
      <c r="FO6" s="568"/>
      <c r="FP6" s="568"/>
      <c r="FQ6" s="568"/>
      <c r="FR6" s="568"/>
      <c r="FS6" s="568"/>
      <c r="FT6" s="568"/>
      <c r="FU6" s="568"/>
      <c r="FV6" s="568"/>
      <c r="FW6" s="568"/>
      <c r="FX6" s="568"/>
      <c r="FY6" s="568"/>
      <c r="FZ6" s="568"/>
      <c r="GA6" s="568"/>
      <c r="GB6" s="568"/>
      <c r="GC6" s="568"/>
      <c r="GD6" s="568"/>
      <c r="GE6" s="568"/>
      <c r="GF6" s="568"/>
      <c r="GG6" s="568"/>
      <c r="GH6" s="568"/>
      <c r="GI6" s="568"/>
      <c r="GJ6" s="568"/>
      <c r="GK6" s="568"/>
      <c r="GL6" s="568"/>
      <c r="GM6" s="568"/>
      <c r="GN6" s="568"/>
      <c r="GO6" s="568"/>
      <c r="GP6" s="568"/>
      <c r="GQ6" s="568"/>
      <c r="GR6" s="568"/>
      <c r="GS6" s="568"/>
      <c r="GT6" s="568"/>
      <c r="GU6" s="568"/>
      <c r="GV6" s="568"/>
      <c r="GW6" s="568"/>
      <c r="GX6" s="568"/>
      <c r="GY6" s="568"/>
      <c r="GZ6" s="568"/>
      <c r="HA6" s="568"/>
      <c r="HB6" s="568"/>
      <c r="HC6" s="568"/>
      <c r="HD6" s="568"/>
      <c r="HE6" s="568"/>
      <c r="HF6" s="568"/>
      <c r="HG6" s="568"/>
      <c r="HH6" s="568"/>
      <c r="HI6" s="568"/>
      <c r="HJ6" s="568"/>
      <c r="HK6" s="568"/>
    </row>
    <row r="7" spans="1:219" s="158" customFormat="1" ht="30" customHeight="1" thickBot="1" x14ac:dyDescent="0.25">
      <c r="A7" s="539" t="s">
        <v>927</v>
      </c>
      <c r="B7" s="351" t="s">
        <v>802</v>
      </c>
      <c r="C7" s="1180" t="s">
        <v>825</v>
      </c>
      <c r="D7" s="646"/>
      <c r="E7" s="1190"/>
      <c r="F7" s="1721" t="s">
        <v>2150</v>
      </c>
    </row>
    <row r="8" spans="1:219" s="158" customFormat="1" ht="30" customHeight="1" thickBot="1" x14ac:dyDescent="0.25">
      <c r="A8" s="539" t="s">
        <v>928</v>
      </c>
      <c r="B8" s="331" t="s">
        <v>812</v>
      </c>
      <c r="C8" s="464" t="s">
        <v>674</v>
      </c>
      <c r="D8" s="645"/>
      <c r="E8" s="1188"/>
      <c r="F8" s="1721" t="s">
        <v>2151</v>
      </c>
    </row>
    <row r="9" spans="1:219" s="158" customFormat="1" ht="30" customHeight="1" thickBot="1" x14ac:dyDescent="0.25">
      <c r="A9" s="866" t="s">
        <v>929</v>
      </c>
      <c r="B9" s="867" t="s">
        <v>673</v>
      </c>
      <c r="C9" s="839" t="s">
        <v>672</v>
      </c>
      <c r="D9" s="868"/>
      <c r="E9" s="1188"/>
      <c r="F9" s="1721" t="s">
        <v>2151</v>
      </c>
    </row>
    <row r="10" spans="1:219" s="158" customFormat="1" ht="30" customHeight="1" thickBot="1" x14ac:dyDescent="0.25">
      <c r="A10" s="869" t="s">
        <v>930</v>
      </c>
      <c r="B10" s="351" t="s">
        <v>670</v>
      </c>
      <c r="C10" s="1180" t="s">
        <v>899</v>
      </c>
      <c r="D10" s="646"/>
      <c r="E10" s="1190"/>
      <c r="F10" s="1719" t="s">
        <v>900</v>
      </c>
    </row>
    <row r="11" spans="1:219" s="158" customFormat="1" ht="30" customHeight="1" thickBot="1" x14ac:dyDescent="0.25">
      <c r="A11" s="539" t="s">
        <v>931</v>
      </c>
      <c r="B11" s="331" t="s">
        <v>796</v>
      </c>
      <c r="C11" s="331" t="s">
        <v>2159</v>
      </c>
      <c r="D11" s="645"/>
      <c r="E11" s="1188"/>
      <c r="F11" s="1719" t="s">
        <v>1963</v>
      </c>
    </row>
    <row r="12" spans="1:219" s="158" customFormat="1" ht="30" customHeight="1" thickBot="1" x14ac:dyDescent="0.25">
      <c r="A12" s="567" t="s">
        <v>932</v>
      </c>
      <c r="B12" s="351" t="s">
        <v>828</v>
      </c>
      <c r="C12" s="351" t="s">
        <v>2160</v>
      </c>
      <c r="D12" s="646"/>
      <c r="E12" s="1190"/>
      <c r="F12" s="1719" t="s">
        <v>1964</v>
      </c>
    </row>
    <row r="13" spans="1:219" s="158" customFormat="1" ht="30" customHeight="1" thickBot="1" x14ac:dyDescent="0.25">
      <c r="A13" s="539" t="s">
        <v>933</v>
      </c>
      <c r="B13" s="867" t="s">
        <v>1961</v>
      </c>
      <c r="C13" s="874" t="s">
        <v>1961</v>
      </c>
      <c r="D13" s="868"/>
      <c r="E13" s="1188"/>
      <c r="F13" s="1719" t="s">
        <v>1962</v>
      </c>
    </row>
    <row r="14" spans="1:219" s="158" customFormat="1" ht="30" customHeight="1" thickBot="1" x14ac:dyDescent="0.25">
      <c r="A14" s="869" t="s">
        <v>934</v>
      </c>
      <c r="B14" s="351" t="s">
        <v>675</v>
      </c>
      <c r="C14" s="1180" t="s">
        <v>887</v>
      </c>
      <c r="D14" s="646"/>
      <c r="E14" s="1190"/>
      <c r="F14" s="1719" t="s">
        <v>906</v>
      </c>
    </row>
    <row r="15" spans="1:219" s="158" customFormat="1" ht="30" customHeight="1" thickBot="1" x14ac:dyDescent="0.25">
      <c r="A15" s="567" t="s">
        <v>935</v>
      </c>
      <c r="B15" s="331" t="s">
        <v>671</v>
      </c>
      <c r="C15" s="464" t="s">
        <v>281</v>
      </c>
      <c r="D15" s="645"/>
      <c r="E15" s="1188"/>
      <c r="F15" s="1721" t="s">
        <v>1972</v>
      </c>
    </row>
    <row r="16" spans="1:219" s="158" customFormat="1" ht="30" customHeight="1" thickBot="1" x14ac:dyDescent="0.25">
      <c r="A16" s="539" t="s">
        <v>936</v>
      </c>
      <c r="B16" s="351" t="s">
        <v>698</v>
      </c>
      <c r="C16" s="1180" t="s">
        <v>663</v>
      </c>
      <c r="D16" s="646"/>
      <c r="E16" s="1190"/>
      <c r="F16" s="1719" t="s">
        <v>903</v>
      </c>
    </row>
    <row r="17" spans="1:6" s="158" customFormat="1" ht="30" customHeight="1" thickBot="1" x14ac:dyDescent="0.25">
      <c r="A17" s="539" t="s">
        <v>937</v>
      </c>
      <c r="B17" s="331" t="s">
        <v>668</v>
      </c>
      <c r="C17" s="464" t="s">
        <v>667</v>
      </c>
      <c r="D17" s="645"/>
      <c r="E17" s="1188"/>
      <c r="F17" s="1719" t="s">
        <v>1973</v>
      </c>
    </row>
    <row r="18" spans="1:6" s="158" customFormat="1" ht="30" customHeight="1" thickBot="1" x14ac:dyDescent="0.25">
      <c r="A18" s="567" t="s">
        <v>938</v>
      </c>
      <c r="B18" s="331" t="s">
        <v>699</v>
      </c>
      <c r="C18" s="464" t="s">
        <v>677</v>
      </c>
      <c r="D18" s="645"/>
      <c r="E18" s="1188"/>
      <c r="F18" s="1719" t="s">
        <v>1270</v>
      </c>
    </row>
    <row r="19" spans="1:6" s="158" customFormat="1" ht="30" customHeight="1" thickBot="1" x14ac:dyDescent="0.25">
      <c r="A19" s="539" t="s">
        <v>939</v>
      </c>
      <c r="B19" s="867" t="s">
        <v>696</v>
      </c>
      <c r="C19" s="839" t="s">
        <v>282</v>
      </c>
      <c r="D19" s="868"/>
      <c r="E19" s="1188"/>
      <c r="F19" s="1721" t="s">
        <v>1974</v>
      </c>
    </row>
    <row r="20" spans="1:6" s="158" customFormat="1" ht="30" customHeight="1" thickBot="1" x14ac:dyDescent="0.25">
      <c r="A20" s="869" t="s">
        <v>940</v>
      </c>
      <c r="B20" s="351" t="s">
        <v>1965</v>
      </c>
      <c r="C20" s="351" t="s">
        <v>1965</v>
      </c>
      <c r="D20" s="646"/>
      <c r="E20" s="1190"/>
      <c r="F20" s="1719" t="s">
        <v>1966</v>
      </c>
    </row>
    <row r="21" spans="1:6" s="158" customFormat="1" ht="30" customHeight="1" thickBot="1" x14ac:dyDescent="0.25">
      <c r="A21" s="567" t="s">
        <v>941</v>
      </c>
      <c r="B21" s="331" t="s">
        <v>810</v>
      </c>
      <c r="C21" s="464" t="s">
        <v>2164</v>
      </c>
      <c r="D21" s="645"/>
      <c r="E21" s="1188"/>
      <c r="F21" s="1721" t="s">
        <v>1975</v>
      </c>
    </row>
    <row r="22" spans="1:6" s="158" customFormat="1" ht="30" customHeight="1" thickBot="1" x14ac:dyDescent="0.25">
      <c r="A22" s="539" t="s">
        <v>942</v>
      </c>
      <c r="B22" s="331" t="s">
        <v>687</v>
      </c>
      <c r="C22" s="464" t="s">
        <v>2165</v>
      </c>
      <c r="D22" s="645"/>
      <c r="E22" s="1188"/>
      <c r="F22" s="1721" t="s">
        <v>2152</v>
      </c>
    </row>
    <row r="23" spans="1:6" s="158" customFormat="1" ht="30" customHeight="1" thickBot="1" x14ac:dyDescent="0.25">
      <c r="A23" s="539" t="s">
        <v>943</v>
      </c>
      <c r="B23" s="351" t="s">
        <v>852</v>
      </c>
      <c r="C23" s="1180" t="s">
        <v>865</v>
      </c>
      <c r="D23" s="646"/>
      <c r="E23" s="1190"/>
      <c r="F23" s="1721" t="s">
        <v>2223</v>
      </c>
    </row>
    <row r="24" spans="1:6" s="158" customFormat="1" ht="30" customHeight="1" thickBot="1" x14ac:dyDescent="0.25">
      <c r="A24" s="567" t="s">
        <v>944</v>
      </c>
      <c r="B24" s="331" t="s">
        <v>853</v>
      </c>
      <c r="C24" s="464" t="s">
        <v>873</v>
      </c>
      <c r="D24" s="645"/>
      <c r="E24" s="1188"/>
      <c r="F24" s="1721" t="s">
        <v>1977</v>
      </c>
    </row>
    <row r="25" spans="1:6" s="158" customFormat="1" ht="30" customHeight="1" thickBot="1" x14ac:dyDescent="0.25">
      <c r="A25" s="539" t="s">
        <v>945</v>
      </c>
      <c r="B25" s="351" t="s">
        <v>868</v>
      </c>
      <c r="C25" s="1180" t="s">
        <v>877</v>
      </c>
      <c r="D25" s="646"/>
      <c r="E25" s="1190"/>
      <c r="F25" s="1719" t="s">
        <v>1978</v>
      </c>
    </row>
    <row r="26" spans="1:6" s="158" customFormat="1" ht="30" customHeight="1" thickBot="1" x14ac:dyDescent="0.25">
      <c r="A26" s="539" t="s">
        <v>946</v>
      </c>
      <c r="B26" s="331" t="s">
        <v>869</v>
      </c>
      <c r="C26" s="464" t="s">
        <v>878</v>
      </c>
      <c r="D26" s="645"/>
      <c r="E26" s="1188"/>
      <c r="F26" s="1719" t="s">
        <v>2232</v>
      </c>
    </row>
    <row r="27" spans="1:6" s="158" customFormat="1" ht="30" customHeight="1" thickBot="1" x14ac:dyDescent="0.25">
      <c r="A27" s="866" t="s">
        <v>947</v>
      </c>
      <c r="B27" s="867" t="s">
        <v>870</v>
      </c>
      <c r="C27" s="839" t="s">
        <v>879</v>
      </c>
      <c r="D27" s="868"/>
      <c r="E27" s="1188"/>
      <c r="F27" s="1719" t="s">
        <v>1979</v>
      </c>
    </row>
    <row r="28" spans="1:6" s="158" customFormat="1" ht="30" customHeight="1" thickBot="1" x14ac:dyDescent="0.25">
      <c r="A28" s="869" t="s">
        <v>948</v>
      </c>
      <c r="B28" s="351" t="s">
        <v>664</v>
      </c>
      <c r="C28" s="1180" t="s">
        <v>700</v>
      </c>
      <c r="D28" s="646"/>
      <c r="E28" s="1190"/>
      <c r="F28" s="1719" t="s">
        <v>2148</v>
      </c>
    </row>
    <row r="29" spans="1:6" s="158" customFormat="1" ht="30" customHeight="1" thickBot="1" x14ac:dyDescent="0.25">
      <c r="A29" s="539" t="s">
        <v>949</v>
      </c>
      <c r="B29" s="331" t="s">
        <v>848</v>
      </c>
      <c r="C29" s="464" t="s">
        <v>849</v>
      </c>
      <c r="D29" s="645"/>
      <c r="E29" s="1188"/>
      <c r="F29" s="1719" t="s">
        <v>2153</v>
      </c>
    </row>
    <row r="30" spans="1:6" s="158" customFormat="1" ht="30" customHeight="1" thickBot="1" x14ac:dyDescent="0.25">
      <c r="A30" s="567" t="s">
        <v>950</v>
      </c>
      <c r="B30" s="351" t="s">
        <v>692</v>
      </c>
      <c r="C30" s="1180" t="s">
        <v>680</v>
      </c>
      <c r="D30" s="646"/>
      <c r="E30" s="1190"/>
      <c r="F30" s="1719" t="s">
        <v>1273</v>
      </c>
    </row>
    <row r="31" spans="1:6" s="158" customFormat="1" ht="30" customHeight="1" thickBot="1" x14ac:dyDescent="0.25">
      <c r="A31" s="539" t="s">
        <v>951</v>
      </c>
      <c r="B31" s="331" t="s">
        <v>693</v>
      </c>
      <c r="C31" s="464" t="s">
        <v>822</v>
      </c>
      <c r="D31" s="645"/>
      <c r="E31" s="1188"/>
      <c r="F31" s="1719" t="s">
        <v>905</v>
      </c>
    </row>
    <row r="32" spans="1:6" s="158" customFormat="1" ht="30" customHeight="1" thickBot="1" x14ac:dyDescent="0.25">
      <c r="A32" s="539" t="s">
        <v>952</v>
      </c>
      <c r="B32" s="331" t="s">
        <v>688</v>
      </c>
      <c r="C32" s="464" t="s">
        <v>2166</v>
      </c>
      <c r="D32" s="645"/>
      <c r="E32" s="1188"/>
      <c r="F32" s="1719" t="s">
        <v>2154</v>
      </c>
    </row>
    <row r="33" spans="1:219" s="158" customFormat="1" ht="30" customHeight="1" thickBot="1" x14ac:dyDescent="0.25">
      <c r="A33" s="567" t="s">
        <v>953</v>
      </c>
      <c r="B33" s="351" t="s">
        <v>691</v>
      </c>
      <c r="C33" s="1180" t="s">
        <v>678</v>
      </c>
      <c r="D33" s="646"/>
      <c r="E33" s="1190"/>
      <c r="F33" s="1719" t="s">
        <v>2153</v>
      </c>
    </row>
    <row r="34" spans="1:219" s="158" customFormat="1" ht="30" customHeight="1" thickBot="1" x14ac:dyDescent="0.25">
      <c r="A34" s="539" t="s">
        <v>954</v>
      </c>
      <c r="B34" s="331" t="s">
        <v>697</v>
      </c>
      <c r="C34" s="464" t="s">
        <v>669</v>
      </c>
      <c r="D34" s="645"/>
      <c r="E34" s="1188"/>
      <c r="F34" s="1719" t="s">
        <v>2014</v>
      </c>
    </row>
    <row r="35" spans="1:219" s="158" customFormat="1" ht="30" customHeight="1" thickBot="1" x14ac:dyDescent="0.25">
      <c r="A35" s="539" t="s">
        <v>955</v>
      </c>
      <c r="B35" s="331" t="s">
        <v>695</v>
      </c>
      <c r="C35" s="464" t="s">
        <v>682</v>
      </c>
      <c r="D35" s="645"/>
      <c r="E35" s="1188"/>
      <c r="F35" s="1719" t="s">
        <v>1274</v>
      </c>
    </row>
    <row r="36" spans="1:219" ht="30" customHeight="1" thickBot="1" x14ac:dyDescent="0.25">
      <c r="A36" s="567" t="s">
        <v>956</v>
      </c>
      <c r="B36" s="867" t="s">
        <v>793</v>
      </c>
      <c r="C36" s="839" t="s">
        <v>907</v>
      </c>
      <c r="D36" s="868"/>
      <c r="E36" s="1188"/>
      <c r="F36" s="1719" t="s">
        <v>2155</v>
      </c>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M36" s="568"/>
      <c r="AN36" s="568"/>
      <c r="AO36" s="568"/>
      <c r="AP36" s="568"/>
      <c r="AQ36" s="568"/>
      <c r="AR36" s="568"/>
      <c r="AS36" s="568"/>
      <c r="AT36" s="568"/>
      <c r="AU36" s="568"/>
      <c r="AV36" s="568"/>
      <c r="AW36" s="568"/>
      <c r="AX36" s="568"/>
      <c r="AY36" s="568"/>
      <c r="AZ36" s="568"/>
      <c r="BA36" s="568"/>
      <c r="BB36" s="568"/>
      <c r="BC36" s="568"/>
      <c r="BD36" s="568"/>
      <c r="BE36" s="568"/>
      <c r="BF36" s="568"/>
      <c r="BG36" s="568"/>
      <c r="BH36" s="568"/>
      <c r="BI36" s="568"/>
      <c r="BJ36" s="568"/>
      <c r="BK36" s="568"/>
      <c r="BL36" s="568"/>
      <c r="BM36" s="568"/>
      <c r="BN36" s="568"/>
      <c r="BO36" s="568"/>
      <c r="BP36" s="568"/>
      <c r="BQ36" s="568"/>
      <c r="BR36" s="568"/>
      <c r="BS36" s="568"/>
      <c r="BT36" s="568"/>
      <c r="BU36" s="568"/>
      <c r="BV36" s="568"/>
      <c r="BW36" s="568"/>
      <c r="BX36" s="568"/>
      <c r="BY36" s="568"/>
      <c r="BZ36" s="568"/>
      <c r="CA36" s="568"/>
      <c r="CB36" s="568"/>
      <c r="CC36" s="568"/>
      <c r="CD36" s="568"/>
      <c r="CE36" s="568"/>
      <c r="CF36" s="568"/>
      <c r="CG36" s="568"/>
      <c r="CH36" s="568"/>
      <c r="CI36" s="568"/>
      <c r="CJ36" s="568"/>
      <c r="CK36" s="568"/>
      <c r="CL36" s="568"/>
      <c r="CM36" s="568"/>
      <c r="CN36" s="568"/>
      <c r="CO36" s="568"/>
      <c r="CP36" s="568"/>
      <c r="CQ36" s="568"/>
      <c r="CR36" s="568"/>
      <c r="CS36" s="568"/>
      <c r="CT36" s="568"/>
      <c r="CU36" s="568"/>
      <c r="CV36" s="568"/>
      <c r="CW36" s="568"/>
      <c r="CX36" s="568"/>
      <c r="CY36" s="568"/>
      <c r="CZ36" s="568"/>
      <c r="DA36" s="568"/>
      <c r="DB36" s="568"/>
      <c r="DC36" s="568"/>
      <c r="DD36" s="568"/>
      <c r="DE36" s="568"/>
      <c r="DF36" s="568"/>
      <c r="DG36" s="568"/>
      <c r="DH36" s="568"/>
      <c r="DI36" s="568"/>
      <c r="DJ36" s="568"/>
      <c r="DK36" s="568"/>
      <c r="DL36" s="568"/>
      <c r="DM36" s="568"/>
      <c r="DN36" s="568"/>
      <c r="DO36" s="568"/>
      <c r="DP36" s="568"/>
      <c r="DQ36" s="568"/>
      <c r="DR36" s="568"/>
      <c r="DS36" s="568"/>
      <c r="DT36" s="568"/>
      <c r="DU36" s="568"/>
      <c r="DV36" s="568"/>
      <c r="DW36" s="568"/>
      <c r="DX36" s="568"/>
      <c r="DY36" s="568"/>
      <c r="DZ36" s="568"/>
      <c r="EA36" s="568"/>
      <c r="EB36" s="568"/>
      <c r="EC36" s="568"/>
      <c r="ED36" s="568"/>
      <c r="EE36" s="568"/>
      <c r="EF36" s="568"/>
      <c r="EG36" s="568"/>
      <c r="EH36" s="568"/>
      <c r="EI36" s="568"/>
      <c r="EJ36" s="568"/>
      <c r="EK36" s="568"/>
      <c r="EL36" s="568"/>
      <c r="EM36" s="568"/>
      <c r="EN36" s="568"/>
      <c r="EO36" s="568"/>
      <c r="EP36" s="568"/>
      <c r="EQ36" s="568"/>
      <c r="ER36" s="568"/>
      <c r="ES36" s="568"/>
      <c r="ET36" s="568"/>
      <c r="EU36" s="568"/>
      <c r="EV36" s="568"/>
      <c r="EW36" s="568"/>
      <c r="EX36" s="568"/>
      <c r="EY36" s="568"/>
      <c r="EZ36" s="568"/>
      <c r="FA36" s="568"/>
      <c r="FB36" s="568"/>
      <c r="FC36" s="568"/>
      <c r="FD36" s="568"/>
      <c r="FE36" s="568"/>
      <c r="FF36" s="568"/>
      <c r="FG36" s="568"/>
      <c r="FH36" s="568"/>
      <c r="FI36" s="568"/>
      <c r="FJ36" s="568"/>
      <c r="FK36" s="568"/>
      <c r="FL36" s="568"/>
      <c r="FM36" s="568"/>
      <c r="FN36" s="568"/>
      <c r="FO36" s="568"/>
      <c r="FP36" s="568"/>
      <c r="FQ36" s="568"/>
      <c r="FR36" s="568"/>
      <c r="FS36" s="568"/>
      <c r="FT36" s="568"/>
      <c r="FU36" s="568"/>
      <c r="FV36" s="568"/>
      <c r="FW36" s="568"/>
      <c r="FX36" s="568"/>
      <c r="FY36" s="568"/>
      <c r="FZ36" s="568"/>
      <c r="GA36" s="568"/>
      <c r="GB36" s="568"/>
      <c r="GC36" s="568"/>
      <c r="GD36" s="568"/>
      <c r="GE36" s="568"/>
      <c r="GF36" s="568"/>
      <c r="GG36" s="568"/>
      <c r="GH36" s="568"/>
      <c r="GI36" s="568"/>
      <c r="GJ36" s="568"/>
      <c r="GK36" s="568"/>
      <c r="GL36" s="568"/>
      <c r="GM36" s="568"/>
      <c r="GN36" s="568"/>
      <c r="GO36" s="568"/>
      <c r="GP36" s="568"/>
      <c r="GQ36" s="568"/>
      <c r="GR36" s="568"/>
      <c r="GS36" s="568"/>
      <c r="GT36" s="568"/>
      <c r="GU36" s="568"/>
      <c r="GV36" s="568"/>
      <c r="GW36" s="568"/>
      <c r="GX36" s="568"/>
      <c r="GY36" s="568"/>
      <c r="GZ36" s="568"/>
      <c r="HA36" s="568"/>
      <c r="HB36" s="568"/>
      <c r="HC36" s="568"/>
      <c r="HD36" s="568"/>
      <c r="HE36" s="568"/>
      <c r="HF36" s="568"/>
      <c r="HG36" s="568"/>
      <c r="HH36" s="568"/>
      <c r="HI36" s="568"/>
      <c r="HJ36" s="568"/>
      <c r="HK36" s="568"/>
    </row>
    <row r="37" spans="1:219" ht="30" customHeight="1" thickBot="1" x14ac:dyDescent="0.25">
      <c r="A37" s="875" t="s">
        <v>957</v>
      </c>
      <c r="B37" s="351" t="s">
        <v>689</v>
      </c>
      <c r="C37" s="1180" t="s">
        <v>665</v>
      </c>
      <c r="D37" s="646"/>
      <c r="E37" s="1190"/>
      <c r="F37" s="1719"/>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c r="AR37" s="568"/>
      <c r="AS37" s="568"/>
      <c r="AT37" s="568"/>
      <c r="AU37" s="568"/>
      <c r="AV37" s="568"/>
      <c r="AW37" s="568"/>
      <c r="AX37" s="568"/>
      <c r="AY37" s="568"/>
      <c r="AZ37" s="568"/>
      <c r="BA37" s="568"/>
      <c r="BB37" s="568"/>
      <c r="BC37" s="568"/>
      <c r="BD37" s="568"/>
      <c r="BE37" s="568"/>
      <c r="BF37" s="568"/>
      <c r="BG37" s="568"/>
      <c r="BH37" s="568"/>
      <c r="BI37" s="568"/>
      <c r="BJ37" s="568"/>
      <c r="BK37" s="568"/>
      <c r="BL37" s="568"/>
      <c r="BM37" s="568"/>
      <c r="BN37" s="568"/>
      <c r="BO37" s="568"/>
      <c r="BP37" s="568"/>
      <c r="BQ37" s="568"/>
      <c r="BR37" s="568"/>
      <c r="BS37" s="568"/>
      <c r="BT37" s="568"/>
      <c r="BU37" s="568"/>
      <c r="BV37" s="568"/>
      <c r="BW37" s="568"/>
      <c r="BX37" s="568"/>
      <c r="BY37" s="568"/>
      <c r="BZ37" s="568"/>
      <c r="CA37" s="568"/>
      <c r="CB37" s="568"/>
      <c r="CC37" s="568"/>
      <c r="CD37" s="568"/>
      <c r="CE37" s="568"/>
      <c r="CF37" s="568"/>
      <c r="CG37" s="568"/>
      <c r="CH37" s="568"/>
      <c r="CI37" s="568"/>
      <c r="CJ37" s="568"/>
      <c r="CK37" s="568"/>
      <c r="CL37" s="568"/>
      <c r="CM37" s="568"/>
      <c r="CN37" s="568"/>
      <c r="CO37" s="568"/>
      <c r="CP37" s="568"/>
      <c r="CQ37" s="568"/>
      <c r="CR37" s="568"/>
      <c r="CS37" s="568"/>
      <c r="CT37" s="568"/>
      <c r="CU37" s="568"/>
      <c r="CV37" s="568"/>
      <c r="CW37" s="568"/>
      <c r="CX37" s="568"/>
      <c r="CY37" s="568"/>
      <c r="CZ37" s="568"/>
      <c r="DA37" s="568"/>
      <c r="DB37" s="568"/>
      <c r="DC37" s="568"/>
      <c r="DD37" s="568"/>
      <c r="DE37" s="568"/>
      <c r="DF37" s="568"/>
      <c r="DG37" s="568"/>
      <c r="DH37" s="568"/>
      <c r="DI37" s="568"/>
      <c r="DJ37" s="568"/>
      <c r="DK37" s="568"/>
      <c r="DL37" s="568"/>
      <c r="DM37" s="568"/>
      <c r="DN37" s="568"/>
      <c r="DO37" s="568"/>
      <c r="DP37" s="568"/>
      <c r="DQ37" s="568"/>
      <c r="DR37" s="568"/>
      <c r="DS37" s="568"/>
      <c r="DT37" s="568"/>
      <c r="DU37" s="568"/>
      <c r="DV37" s="568"/>
      <c r="DW37" s="568"/>
      <c r="DX37" s="568"/>
      <c r="DY37" s="568"/>
      <c r="DZ37" s="568"/>
      <c r="EA37" s="568"/>
      <c r="EB37" s="568"/>
      <c r="EC37" s="568"/>
      <c r="ED37" s="568"/>
      <c r="EE37" s="568"/>
      <c r="EF37" s="568"/>
      <c r="EG37" s="568"/>
      <c r="EH37" s="568"/>
      <c r="EI37" s="568"/>
      <c r="EJ37" s="568"/>
      <c r="EK37" s="568"/>
      <c r="EL37" s="568"/>
      <c r="EM37" s="568"/>
      <c r="EN37" s="568"/>
      <c r="EO37" s="568"/>
      <c r="EP37" s="568"/>
      <c r="EQ37" s="568"/>
      <c r="ER37" s="568"/>
      <c r="ES37" s="568"/>
      <c r="ET37" s="568"/>
      <c r="EU37" s="568"/>
      <c r="EV37" s="568"/>
      <c r="EW37" s="568"/>
      <c r="EX37" s="568"/>
      <c r="EY37" s="568"/>
      <c r="EZ37" s="568"/>
      <c r="FA37" s="568"/>
      <c r="FB37" s="568"/>
      <c r="FC37" s="568"/>
      <c r="FD37" s="568"/>
      <c r="FE37" s="568"/>
      <c r="FF37" s="568"/>
      <c r="FG37" s="568"/>
      <c r="FH37" s="568"/>
      <c r="FI37" s="568"/>
      <c r="FJ37" s="568"/>
      <c r="FK37" s="568"/>
      <c r="FL37" s="568"/>
      <c r="FM37" s="568"/>
      <c r="FN37" s="568"/>
      <c r="FO37" s="568"/>
      <c r="FP37" s="568"/>
      <c r="FQ37" s="568"/>
      <c r="FR37" s="568"/>
      <c r="FS37" s="568"/>
      <c r="FT37" s="568"/>
      <c r="FU37" s="568"/>
      <c r="FV37" s="568"/>
      <c r="FW37" s="568"/>
      <c r="FX37" s="568"/>
      <c r="FY37" s="568"/>
      <c r="FZ37" s="568"/>
      <c r="GA37" s="568"/>
      <c r="GB37" s="568"/>
      <c r="GC37" s="568"/>
      <c r="GD37" s="568"/>
      <c r="GE37" s="568"/>
      <c r="GF37" s="568"/>
      <c r="GG37" s="568"/>
      <c r="GH37" s="568"/>
      <c r="GI37" s="568"/>
      <c r="GJ37" s="568"/>
      <c r="GK37" s="568"/>
      <c r="GL37" s="568"/>
      <c r="GM37" s="568"/>
      <c r="GN37" s="568"/>
      <c r="GO37" s="568"/>
      <c r="GP37" s="568"/>
      <c r="GQ37" s="568"/>
      <c r="GR37" s="568"/>
      <c r="GS37" s="568"/>
      <c r="GT37" s="568"/>
      <c r="GU37" s="568"/>
      <c r="GV37" s="568"/>
      <c r="GW37" s="568"/>
      <c r="GX37" s="568"/>
      <c r="GY37" s="568"/>
      <c r="GZ37" s="568"/>
      <c r="HA37" s="568"/>
      <c r="HB37" s="568"/>
      <c r="HC37" s="568"/>
      <c r="HD37" s="568"/>
      <c r="HE37" s="568"/>
      <c r="HF37" s="568"/>
      <c r="HG37" s="568"/>
      <c r="HH37" s="568"/>
      <c r="HI37" s="568"/>
      <c r="HJ37" s="568"/>
      <c r="HK37" s="568"/>
    </row>
    <row r="38" spans="1:219" s="158" customFormat="1" ht="30" customHeight="1" thickBot="1" x14ac:dyDescent="0.25">
      <c r="A38" s="539" t="s">
        <v>958</v>
      </c>
      <c r="B38" s="867" t="s">
        <v>1967</v>
      </c>
      <c r="C38" s="867" t="s">
        <v>1967</v>
      </c>
      <c r="D38" s="645"/>
      <c r="E38" s="1188"/>
      <c r="F38" s="1719" t="s">
        <v>1966</v>
      </c>
    </row>
    <row r="39" spans="1:219" ht="30" customHeight="1" thickBot="1" x14ac:dyDescent="0.25">
      <c r="A39" s="567" t="s">
        <v>959</v>
      </c>
      <c r="B39" s="331" t="s">
        <v>694</v>
      </c>
      <c r="C39" s="464" t="s">
        <v>681</v>
      </c>
      <c r="D39" s="645"/>
      <c r="E39" s="1188"/>
      <c r="F39" s="1719" t="s">
        <v>904</v>
      </c>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8"/>
      <c r="AZ39" s="568"/>
      <c r="BA39" s="568"/>
      <c r="BB39" s="568"/>
      <c r="BC39" s="568"/>
      <c r="BD39" s="568"/>
      <c r="BE39" s="568"/>
      <c r="BF39" s="568"/>
      <c r="BG39" s="568"/>
      <c r="BH39" s="568"/>
      <c r="BI39" s="568"/>
      <c r="BJ39" s="568"/>
      <c r="BK39" s="568"/>
      <c r="BL39" s="568"/>
      <c r="BM39" s="568"/>
      <c r="BN39" s="568"/>
      <c r="BO39" s="568"/>
      <c r="BP39" s="568"/>
      <c r="BQ39" s="568"/>
      <c r="BR39" s="568"/>
      <c r="BS39" s="568"/>
      <c r="BT39" s="568"/>
      <c r="BU39" s="568"/>
      <c r="BV39" s="568"/>
      <c r="BW39" s="568"/>
      <c r="BX39" s="568"/>
      <c r="BY39" s="568"/>
      <c r="BZ39" s="568"/>
      <c r="CA39" s="568"/>
      <c r="CB39" s="568"/>
      <c r="CC39" s="568"/>
      <c r="CD39" s="568"/>
      <c r="CE39" s="568"/>
      <c r="CF39" s="568"/>
      <c r="CG39" s="568"/>
      <c r="CH39" s="568"/>
      <c r="CI39" s="568"/>
      <c r="CJ39" s="568"/>
      <c r="CK39" s="568"/>
      <c r="CL39" s="568"/>
      <c r="CM39" s="568"/>
      <c r="CN39" s="568"/>
      <c r="CO39" s="568"/>
      <c r="CP39" s="568"/>
      <c r="CQ39" s="568"/>
      <c r="CR39" s="568"/>
      <c r="CS39" s="568"/>
      <c r="CT39" s="568"/>
      <c r="CU39" s="568"/>
      <c r="CV39" s="568"/>
      <c r="CW39" s="568"/>
      <c r="CX39" s="568"/>
      <c r="CY39" s="568"/>
      <c r="CZ39" s="568"/>
      <c r="DA39" s="568"/>
      <c r="DB39" s="568"/>
      <c r="DC39" s="568"/>
      <c r="DD39" s="568"/>
      <c r="DE39" s="568"/>
      <c r="DF39" s="568"/>
      <c r="DG39" s="568"/>
      <c r="DH39" s="568"/>
      <c r="DI39" s="568"/>
      <c r="DJ39" s="568"/>
      <c r="DK39" s="568"/>
      <c r="DL39" s="568"/>
      <c r="DM39" s="568"/>
      <c r="DN39" s="568"/>
      <c r="DO39" s="568"/>
      <c r="DP39" s="568"/>
      <c r="DQ39" s="568"/>
      <c r="DR39" s="568"/>
      <c r="DS39" s="568"/>
      <c r="DT39" s="568"/>
      <c r="DU39" s="568"/>
      <c r="DV39" s="568"/>
      <c r="DW39" s="568"/>
      <c r="DX39" s="568"/>
      <c r="DY39" s="568"/>
      <c r="DZ39" s="568"/>
      <c r="EA39" s="568"/>
      <c r="EB39" s="568"/>
      <c r="EC39" s="568"/>
      <c r="ED39" s="568"/>
      <c r="EE39" s="568"/>
      <c r="EF39" s="568"/>
      <c r="EG39" s="568"/>
      <c r="EH39" s="568"/>
      <c r="EI39" s="568"/>
      <c r="EJ39" s="568"/>
      <c r="EK39" s="568"/>
      <c r="EL39" s="568"/>
      <c r="EM39" s="568"/>
      <c r="EN39" s="568"/>
      <c r="EO39" s="568"/>
      <c r="EP39" s="568"/>
      <c r="EQ39" s="568"/>
      <c r="ER39" s="568"/>
      <c r="ES39" s="568"/>
      <c r="ET39" s="568"/>
      <c r="EU39" s="568"/>
      <c r="EV39" s="568"/>
      <c r="EW39" s="568"/>
      <c r="EX39" s="568"/>
      <c r="EY39" s="568"/>
      <c r="EZ39" s="568"/>
      <c r="FA39" s="568"/>
      <c r="FB39" s="568"/>
      <c r="FC39" s="568"/>
      <c r="FD39" s="568"/>
      <c r="FE39" s="568"/>
      <c r="FF39" s="568"/>
      <c r="FG39" s="568"/>
      <c r="FH39" s="568"/>
      <c r="FI39" s="568"/>
      <c r="FJ39" s="568"/>
      <c r="FK39" s="568"/>
      <c r="FL39" s="568"/>
      <c r="FM39" s="568"/>
      <c r="FN39" s="568"/>
      <c r="FO39" s="568"/>
      <c r="FP39" s="568"/>
      <c r="FQ39" s="568"/>
      <c r="FR39" s="568"/>
      <c r="FS39" s="568"/>
      <c r="FT39" s="568"/>
      <c r="FU39" s="568"/>
      <c r="FV39" s="568"/>
      <c r="FW39" s="568"/>
      <c r="FX39" s="568"/>
      <c r="FY39" s="568"/>
      <c r="FZ39" s="568"/>
      <c r="GA39" s="568"/>
      <c r="GB39" s="568"/>
      <c r="GC39" s="568"/>
      <c r="GD39" s="568"/>
      <c r="GE39" s="568"/>
      <c r="GF39" s="568"/>
      <c r="GG39" s="568"/>
      <c r="GH39" s="568"/>
      <c r="GI39" s="568"/>
      <c r="GJ39" s="568"/>
      <c r="GK39" s="568"/>
      <c r="GL39" s="568"/>
      <c r="GM39" s="568"/>
      <c r="GN39" s="568"/>
      <c r="GO39" s="568"/>
      <c r="GP39" s="568"/>
      <c r="GQ39" s="568"/>
      <c r="GR39" s="568"/>
      <c r="GS39" s="568"/>
      <c r="GT39" s="568"/>
      <c r="GU39" s="568"/>
      <c r="GV39" s="568"/>
      <c r="GW39" s="568"/>
      <c r="GX39" s="568"/>
      <c r="GY39" s="568"/>
      <c r="GZ39" s="568"/>
      <c r="HA39" s="568"/>
      <c r="HB39" s="568"/>
      <c r="HC39" s="568"/>
      <c r="HD39" s="568"/>
      <c r="HE39" s="568"/>
      <c r="HF39" s="568"/>
      <c r="HG39" s="568"/>
      <c r="HH39" s="568"/>
      <c r="HI39" s="568"/>
      <c r="HJ39" s="568"/>
      <c r="HK39" s="568"/>
    </row>
    <row r="40" spans="1:219" ht="30" customHeight="1" thickBot="1" x14ac:dyDescent="0.25">
      <c r="A40" s="539" t="s">
        <v>960</v>
      </c>
      <c r="B40" s="351" t="s">
        <v>686</v>
      </c>
      <c r="C40" s="1180" t="s">
        <v>871</v>
      </c>
      <c r="D40" s="646"/>
      <c r="E40" s="1190"/>
      <c r="F40" s="1721" t="s">
        <v>2156</v>
      </c>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68"/>
      <c r="AS40" s="568"/>
      <c r="AT40" s="568"/>
      <c r="AU40" s="568"/>
      <c r="AV40" s="568"/>
      <c r="AW40" s="568"/>
      <c r="AX40" s="568"/>
      <c r="AY40" s="568"/>
      <c r="AZ40" s="568"/>
      <c r="BA40" s="568"/>
      <c r="BB40" s="568"/>
      <c r="BC40" s="568"/>
      <c r="BD40" s="568"/>
      <c r="BE40" s="568"/>
      <c r="BF40" s="568"/>
      <c r="BG40" s="568"/>
      <c r="BH40" s="568"/>
      <c r="BI40" s="568"/>
      <c r="BJ40" s="568"/>
      <c r="BK40" s="568"/>
      <c r="BL40" s="568"/>
      <c r="BM40" s="568"/>
      <c r="BN40" s="568"/>
      <c r="BO40" s="568"/>
      <c r="BP40" s="568"/>
      <c r="BQ40" s="568"/>
      <c r="BR40" s="568"/>
      <c r="BS40" s="568"/>
      <c r="BT40" s="568"/>
      <c r="BU40" s="568"/>
      <c r="BV40" s="568"/>
      <c r="BW40" s="568"/>
      <c r="BX40" s="568"/>
      <c r="BY40" s="568"/>
      <c r="BZ40" s="568"/>
      <c r="CA40" s="568"/>
      <c r="CB40" s="568"/>
      <c r="CC40" s="568"/>
      <c r="CD40" s="568"/>
      <c r="CE40" s="568"/>
      <c r="CF40" s="568"/>
      <c r="CG40" s="568"/>
      <c r="CH40" s="568"/>
      <c r="CI40" s="568"/>
      <c r="CJ40" s="568"/>
      <c r="CK40" s="568"/>
      <c r="CL40" s="568"/>
      <c r="CM40" s="568"/>
      <c r="CN40" s="568"/>
      <c r="CO40" s="568"/>
      <c r="CP40" s="568"/>
      <c r="CQ40" s="568"/>
      <c r="CR40" s="568"/>
      <c r="CS40" s="568"/>
      <c r="CT40" s="568"/>
      <c r="CU40" s="568"/>
      <c r="CV40" s="568"/>
      <c r="CW40" s="568"/>
      <c r="CX40" s="568"/>
      <c r="CY40" s="568"/>
      <c r="CZ40" s="568"/>
      <c r="DA40" s="568"/>
      <c r="DB40" s="568"/>
      <c r="DC40" s="568"/>
      <c r="DD40" s="568"/>
      <c r="DE40" s="568"/>
      <c r="DF40" s="568"/>
      <c r="DG40" s="568"/>
      <c r="DH40" s="568"/>
      <c r="DI40" s="568"/>
      <c r="DJ40" s="568"/>
      <c r="DK40" s="568"/>
      <c r="DL40" s="568"/>
      <c r="DM40" s="568"/>
      <c r="DN40" s="568"/>
      <c r="DO40" s="568"/>
      <c r="DP40" s="568"/>
      <c r="DQ40" s="568"/>
      <c r="DR40" s="568"/>
      <c r="DS40" s="568"/>
      <c r="DT40" s="568"/>
      <c r="DU40" s="568"/>
      <c r="DV40" s="568"/>
      <c r="DW40" s="568"/>
      <c r="DX40" s="568"/>
      <c r="DY40" s="568"/>
      <c r="DZ40" s="568"/>
      <c r="EA40" s="568"/>
      <c r="EB40" s="568"/>
      <c r="EC40" s="568"/>
      <c r="ED40" s="568"/>
      <c r="EE40" s="568"/>
      <c r="EF40" s="568"/>
      <c r="EG40" s="568"/>
      <c r="EH40" s="568"/>
      <c r="EI40" s="568"/>
      <c r="EJ40" s="568"/>
      <c r="EK40" s="568"/>
      <c r="EL40" s="568"/>
      <c r="EM40" s="568"/>
      <c r="EN40" s="568"/>
      <c r="EO40" s="568"/>
      <c r="EP40" s="568"/>
      <c r="EQ40" s="568"/>
      <c r="ER40" s="568"/>
      <c r="ES40" s="568"/>
      <c r="ET40" s="568"/>
      <c r="EU40" s="568"/>
      <c r="EV40" s="568"/>
      <c r="EW40" s="568"/>
      <c r="EX40" s="568"/>
      <c r="EY40" s="568"/>
      <c r="EZ40" s="568"/>
      <c r="FA40" s="568"/>
      <c r="FB40" s="568"/>
      <c r="FC40" s="568"/>
      <c r="FD40" s="568"/>
      <c r="FE40" s="568"/>
      <c r="FF40" s="568"/>
      <c r="FG40" s="568"/>
      <c r="FH40" s="568"/>
      <c r="FI40" s="568"/>
      <c r="FJ40" s="568"/>
      <c r="FK40" s="568"/>
      <c r="FL40" s="568"/>
      <c r="FM40" s="568"/>
      <c r="FN40" s="568"/>
      <c r="FO40" s="568"/>
      <c r="FP40" s="568"/>
      <c r="FQ40" s="568"/>
      <c r="FR40" s="568"/>
      <c r="FS40" s="568"/>
      <c r="FT40" s="568"/>
      <c r="FU40" s="568"/>
      <c r="FV40" s="568"/>
      <c r="FW40" s="568"/>
      <c r="FX40" s="568"/>
      <c r="FY40" s="568"/>
      <c r="FZ40" s="568"/>
      <c r="GA40" s="568"/>
      <c r="GB40" s="568"/>
      <c r="GC40" s="568"/>
      <c r="GD40" s="568"/>
      <c r="GE40" s="568"/>
      <c r="GF40" s="568"/>
      <c r="GG40" s="568"/>
      <c r="GH40" s="568"/>
      <c r="GI40" s="568"/>
      <c r="GJ40" s="568"/>
      <c r="GK40" s="568"/>
      <c r="GL40" s="568"/>
      <c r="GM40" s="568"/>
      <c r="GN40" s="568"/>
      <c r="GO40" s="568"/>
      <c r="GP40" s="568"/>
      <c r="GQ40" s="568"/>
      <c r="GR40" s="568"/>
      <c r="GS40" s="568"/>
      <c r="GT40" s="568"/>
      <c r="GU40" s="568"/>
      <c r="GV40" s="568"/>
      <c r="GW40" s="568"/>
      <c r="GX40" s="568"/>
      <c r="GY40" s="568"/>
      <c r="GZ40" s="568"/>
      <c r="HA40" s="568"/>
      <c r="HB40" s="568"/>
      <c r="HC40" s="568"/>
      <c r="HD40" s="568"/>
      <c r="HE40" s="568"/>
      <c r="HF40" s="568"/>
      <c r="HG40" s="568"/>
      <c r="HH40" s="568"/>
      <c r="HI40" s="568"/>
      <c r="HJ40" s="568"/>
      <c r="HK40" s="568"/>
    </row>
    <row r="41" spans="1:219" ht="30" customHeight="1" thickBot="1" x14ac:dyDescent="0.25">
      <c r="A41" s="539" t="s">
        <v>961</v>
      </c>
      <c r="B41" s="331" t="s">
        <v>799</v>
      </c>
      <c r="C41" s="331" t="s">
        <v>902</v>
      </c>
      <c r="D41" s="645"/>
      <c r="E41" s="1188"/>
      <c r="F41" s="1719" t="s">
        <v>1275</v>
      </c>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c r="AU41" s="568"/>
      <c r="AV41" s="568"/>
      <c r="AW41" s="568"/>
      <c r="AX41" s="568"/>
      <c r="AY41" s="568"/>
      <c r="AZ41" s="568"/>
      <c r="BA41" s="568"/>
      <c r="BB41" s="568"/>
      <c r="BC41" s="568"/>
      <c r="BD41" s="568"/>
      <c r="BE41" s="568"/>
      <c r="BF41" s="568"/>
      <c r="BG41" s="568"/>
      <c r="BH41" s="568"/>
      <c r="BI41" s="568"/>
      <c r="BJ41" s="568"/>
      <c r="BK41" s="568"/>
      <c r="BL41" s="568"/>
      <c r="BM41" s="568"/>
      <c r="BN41" s="568"/>
      <c r="BO41" s="568"/>
      <c r="BP41" s="568"/>
      <c r="BQ41" s="568"/>
      <c r="BR41" s="568"/>
      <c r="BS41" s="568"/>
      <c r="BT41" s="568"/>
      <c r="BU41" s="568"/>
      <c r="BV41" s="568"/>
      <c r="BW41" s="568"/>
      <c r="BX41" s="568"/>
      <c r="BY41" s="568"/>
      <c r="BZ41" s="568"/>
      <c r="CA41" s="568"/>
      <c r="CB41" s="568"/>
      <c r="CC41" s="568"/>
      <c r="CD41" s="568"/>
      <c r="CE41" s="568"/>
      <c r="CF41" s="568"/>
      <c r="CG41" s="568"/>
      <c r="CH41" s="568"/>
      <c r="CI41" s="568"/>
      <c r="CJ41" s="568"/>
      <c r="CK41" s="568"/>
      <c r="CL41" s="568"/>
      <c r="CM41" s="568"/>
      <c r="CN41" s="568"/>
      <c r="CO41" s="568"/>
      <c r="CP41" s="568"/>
      <c r="CQ41" s="568"/>
      <c r="CR41" s="568"/>
      <c r="CS41" s="568"/>
      <c r="CT41" s="568"/>
      <c r="CU41" s="568"/>
      <c r="CV41" s="568"/>
      <c r="CW41" s="568"/>
      <c r="CX41" s="568"/>
      <c r="CY41" s="568"/>
      <c r="CZ41" s="568"/>
      <c r="DA41" s="568"/>
      <c r="DB41" s="568"/>
      <c r="DC41" s="568"/>
      <c r="DD41" s="568"/>
      <c r="DE41" s="568"/>
      <c r="DF41" s="568"/>
      <c r="DG41" s="568"/>
      <c r="DH41" s="568"/>
      <c r="DI41" s="568"/>
      <c r="DJ41" s="568"/>
      <c r="DK41" s="568"/>
      <c r="DL41" s="568"/>
      <c r="DM41" s="568"/>
      <c r="DN41" s="568"/>
      <c r="DO41" s="568"/>
      <c r="DP41" s="568"/>
      <c r="DQ41" s="568"/>
      <c r="DR41" s="568"/>
      <c r="DS41" s="568"/>
      <c r="DT41" s="568"/>
      <c r="DU41" s="568"/>
      <c r="DV41" s="568"/>
      <c r="DW41" s="568"/>
      <c r="DX41" s="568"/>
      <c r="DY41" s="568"/>
      <c r="DZ41" s="568"/>
      <c r="EA41" s="568"/>
      <c r="EB41" s="568"/>
      <c r="EC41" s="568"/>
      <c r="ED41" s="568"/>
      <c r="EE41" s="568"/>
      <c r="EF41" s="568"/>
      <c r="EG41" s="568"/>
      <c r="EH41" s="568"/>
      <c r="EI41" s="568"/>
      <c r="EJ41" s="568"/>
      <c r="EK41" s="568"/>
      <c r="EL41" s="568"/>
      <c r="EM41" s="568"/>
      <c r="EN41" s="568"/>
      <c r="EO41" s="568"/>
      <c r="EP41" s="568"/>
      <c r="EQ41" s="568"/>
      <c r="ER41" s="568"/>
      <c r="ES41" s="568"/>
      <c r="ET41" s="568"/>
      <c r="EU41" s="568"/>
      <c r="EV41" s="568"/>
      <c r="EW41" s="568"/>
      <c r="EX41" s="568"/>
      <c r="EY41" s="568"/>
      <c r="EZ41" s="568"/>
      <c r="FA41" s="568"/>
      <c r="FB41" s="568"/>
      <c r="FC41" s="568"/>
      <c r="FD41" s="568"/>
      <c r="FE41" s="568"/>
      <c r="FF41" s="568"/>
      <c r="FG41" s="568"/>
      <c r="FH41" s="568"/>
      <c r="FI41" s="568"/>
      <c r="FJ41" s="568"/>
      <c r="FK41" s="568"/>
      <c r="FL41" s="568"/>
      <c r="FM41" s="568"/>
      <c r="FN41" s="568"/>
      <c r="FO41" s="568"/>
      <c r="FP41" s="568"/>
      <c r="FQ41" s="568"/>
      <c r="FR41" s="568"/>
      <c r="FS41" s="568"/>
      <c r="FT41" s="568"/>
      <c r="FU41" s="568"/>
      <c r="FV41" s="568"/>
      <c r="FW41" s="568"/>
      <c r="FX41" s="568"/>
      <c r="FY41" s="568"/>
      <c r="FZ41" s="568"/>
      <c r="GA41" s="568"/>
      <c r="GB41" s="568"/>
      <c r="GC41" s="568"/>
      <c r="GD41" s="568"/>
      <c r="GE41" s="568"/>
      <c r="GF41" s="568"/>
      <c r="GG41" s="568"/>
      <c r="GH41" s="568"/>
      <c r="GI41" s="568"/>
      <c r="GJ41" s="568"/>
      <c r="GK41" s="568"/>
      <c r="GL41" s="568"/>
      <c r="GM41" s="568"/>
      <c r="GN41" s="568"/>
      <c r="GO41" s="568"/>
      <c r="GP41" s="568"/>
      <c r="GQ41" s="568"/>
      <c r="GR41" s="568"/>
      <c r="GS41" s="568"/>
      <c r="GT41" s="568"/>
      <c r="GU41" s="568"/>
      <c r="GV41" s="568"/>
      <c r="GW41" s="568"/>
      <c r="GX41" s="568"/>
      <c r="GY41" s="568"/>
      <c r="GZ41" s="568"/>
      <c r="HA41" s="568"/>
      <c r="HB41" s="568"/>
      <c r="HC41" s="568"/>
      <c r="HD41" s="568"/>
      <c r="HE41" s="568"/>
      <c r="HF41" s="568"/>
      <c r="HG41" s="568"/>
      <c r="HH41" s="568"/>
      <c r="HI41" s="568"/>
      <c r="HJ41" s="568"/>
      <c r="HK41" s="568"/>
    </row>
    <row r="42" spans="1:219" ht="30" customHeight="1" thickBot="1" x14ac:dyDescent="0.25">
      <c r="A42" s="567" t="s">
        <v>962</v>
      </c>
      <c r="B42" s="351" t="s">
        <v>2271</v>
      </c>
      <c r="C42" s="464" t="s">
        <v>2542</v>
      </c>
      <c r="D42" s="645"/>
      <c r="E42" s="1188"/>
      <c r="F42" s="1721" t="s">
        <v>2272</v>
      </c>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8"/>
      <c r="BA42" s="568"/>
      <c r="BB42" s="568"/>
      <c r="BC42" s="568"/>
      <c r="BD42" s="568"/>
      <c r="BE42" s="568"/>
      <c r="BF42" s="568"/>
      <c r="BG42" s="568"/>
      <c r="BH42" s="568"/>
      <c r="BI42" s="568"/>
      <c r="BJ42" s="568"/>
      <c r="BK42" s="568"/>
      <c r="BL42" s="568"/>
      <c r="BM42" s="568"/>
      <c r="BN42" s="568"/>
      <c r="BO42" s="568"/>
      <c r="BP42" s="568"/>
      <c r="BQ42" s="568"/>
      <c r="BR42" s="568"/>
      <c r="BS42" s="568"/>
      <c r="BT42" s="568"/>
      <c r="BU42" s="568"/>
      <c r="BV42" s="568"/>
      <c r="BW42" s="568"/>
      <c r="BX42" s="568"/>
      <c r="BY42" s="568"/>
      <c r="BZ42" s="568"/>
      <c r="CA42" s="568"/>
      <c r="CB42" s="568"/>
      <c r="CC42" s="568"/>
      <c r="CD42" s="568"/>
      <c r="CE42" s="568"/>
      <c r="CF42" s="568"/>
      <c r="CG42" s="568"/>
      <c r="CH42" s="568"/>
      <c r="CI42" s="568"/>
      <c r="CJ42" s="568"/>
      <c r="CK42" s="568"/>
      <c r="CL42" s="568"/>
      <c r="CM42" s="568"/>
      <c r="CN42" s="568"/>
      <c r="CO42" s="568"/>
      <c r="CP42" s="568"/>
      <c r="CQ42" s="568"/>
      <c r="CR42" s="568"/>
      <c r="CS42" s="568"/>
      <c r="CT42" s="568"/>
      <c r="CU42" s="568"/>
      <c r="CV42" s="568"/>
      <c r="CW42" s="568"/>
      <c r="CX42" s="568"/>
      <c r="CY42" s="568"/>
      <c r="CZ42" s="568"/>
      <c r="DA42" s="568"/>
      <c r="DB42" s="568"/>
      <c r="DC42" s="568"/>
      <c r="DD42" s="568"/>
      <c r="DE42" s="568"/>
      <c r="DF42" s="568"/>
      <c r="DG42" s="568"/>
      <c r="DH42" s="568"/>
      <c r="DI42" s="568"/>
      <c r="DJ42" s="568"/>
      <c r="DK42" s="568"/>
      <c r="DL42" s="568"/>
      <c r="DM42" s="568"/>
      <c r="DN42" s="568"/>
      <c r="DO42" s="568"/>
      <c r="DP42" s="568"/>
      <c r="DQ42" s="568"/>
      <c r="DR42" s="568"/>
      <c r="DS42" s="568"/>
      <c r="DT42" s="568"/>
      <c r="DU42" s="568"/>
      <c r="DV42" s="568"/>
      <c r="DW42" s="568"/>
      <c r="DX42" s="568"/>
      <c r="DY42" s="568"/>
      <c r="DZ42" s="568"/>
      <c r="EA42" s="568"/>
      <c r="EB42" s="568"/>
      <c r="EC42" s="568"/>
      <c r="ED42" s="568"/>
      <c r="EE42" s="568"/>
      <c r="EF42" s="568"/>
      <c r="EG42" s="568"/>
      <c r="EH42" s="568"/>
      <c r="EI42" s="568"/>
      <c r="EJ42" s="568"/>
      <c r="EK42" s="568"/>
      <c r="EL42" s="568"/>
      <c r="EM42" s="568"/>
      <c r="EN42" s="568"/>
      <c r="EO42" s="568"/>
      <c r="EP42" s="568"/>
      <c r="EQ42" s="568"/>
      <c r="ER42" s="568"/>
      <c r="ES42" s="568"/>
      <c r="ET42" s="568"/>
      <c r="EU42" s="568"/>
      <c r="EV42" s="568"/>
      <c r="EW42" s="568"/>
      <c r="EX42" s="568"/>
      <c r="EY42" s="568"/>
      <c r="EZ42" s="568"/>
      <c r="FA42" s="568"/>
      <c r="FB42" s="568"/>
      <c r="FC42" s="568"/>
      <c r="FD42" s="568"/>
      <c r="FE42" s="568"/>
      <c r="FF42" s="568"/>
      <c r="FG42" s="568"/>
      <c r="FH42" s="568"/>
      <c r="FI42" s="568"/>
      <c r="FJ42" s="568"/>
      <c r="FK42" s="568"/>
      <c r="FL42" s="568"/>
      <c r="FM42" s="568"/>
      <c r="FN42" s="568"/>
      <c r="FO42" s="568"/>
      <c r="FP42" s="568"/>
      <c r="FQ42" s="568"/>
      <c r="FR42" s="568"/>
      <c r="FS42" s="568"/>
      <c r="FT42" s="568"/>
      <c r="FU42" s="568"/>
      <c r="FV42" s="568"/>
      <c r="FW42" s="568"/>
      <c r="FX42" s="568"/>
      <c r="FY42" s="568"/>
      <c r="FZ42" s="568"/>
      <c r="GA42" s="568"/>
      <c r="GB42" s="568"/>
      <c r="GC42" s="568"/>
      <c r="GD42" s="568"/>
      <c r="GE42" s="568"/>
      <c r="GF42" s="568"/>
      <c r="GG42" s="568"/>
      <c r="GH42" s="568"/>
      <c r="GI42" s="568"/>
      <c r="GJ42" s="568"/>
      <c r="GK42" s="568"/>
      <c r="GL42" s="568"/>
      <c r="GM42" s="568"/>
      <c r="GN42" s="568"/>
      <c r="GO42" s="568"/>
      <c r="GP42" s="568"/>
      <c r="GQ42" s="568"/>
      <c r="GR42" s="568"/>
      <c r="GS42" s="568"/>
      <c r="GT42" s="568"/>
      <c r="GU42" s="568"/>
      <c r="GV42" s="568"/>
      <c r="GW42" s="568"/>
      <c r="GX42" s="568"/>
      <c r="GY42" s="568"/>
      <c r="GZ42" s="568"/>
      <c r="HA42" s="568"/>
      <c r="HB42" s="568"/>
      <c r="HC42" s="568"/>
      <c r="HD42" s="568"/>
      <c r="HE42" s="568"/>
      <c r="HF42" s="568"/>
      <c r="HG42" s="568"/>
      <c r="HH42" s="568"/>
      <c r="HI42" s="568"/>
      <c r="HJ42" s="568"/>
      <c r="HK42" s="568"/>
    </row>
    <row r="43" spans="1:219" ht="30" customHeight="1" thickBot="1" x14ac:dyDescent="0.25">
      <c r="A43" s="539" t="s">
        <v>963</v>
      </c>
      <c r="B43" s="331" t="s">
        <v>800</v>
      </c>
      <c r="C43" s="464" t="s">
        <v>2168</v>
      </c>
      <c r="D43" s="645"/>
      <c r="E43" s="1188"/>
      <c r="F43" s="1721" t="s">
        <v>1976</v>
      </c>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8"/>
      <c r="AY43" s="568"/>
      <c r="AZ43" s="568"/>
      <c r="BA43" s="568"/>
      <c r="BB43" s="568"/>
      <c r="BC43" s="568"/>
      <c r="BD43" s="568"/>
      <c r="BE43" s="568"/>
      <c r="BF43" s="568"/>
      <c r="BG43" s="568"/>
      <c r="BH43" s="568"/>
      <c r="BI43" s="568"/>
      <c r="BJ43" s="568"/>
      <c r="BK43" s="568"/>
      <c r="BL43" s="568"/>
      <c r="BM43" s="568"/>
      <c r="BN43" s="568"/>
      <c r="BO43" s="568"/>
      <c r="BP43" s="568"/>
      <c r="BQ43" s="568"/>
      <c r="BR43" s="568"/>
      <c r="BS43" s="568"/>
      <c r="BT43" s="568"/>
      <c r="BU43" s="568"/>
      <c r="BV43" s="568"/>
      <c r="BW43" s="568"/>
      <c r="BX43" s="568"/>
      <c r="BY43" s="568"/>
      <c r="BZ43" s="568"/>
      <c r="CA43" s="568"/>
      <c r="CB43" s="568"/>
      <c r="CC43" s="568"/>
      <c r="CD43" s="568"/>
      <c r="CE43" s="568"/>
      <c r="CF43" s="568"/>
      <c r="CG43" s="568"/>
      <c r="CH43" s="568"/>
      <c r="CI43" s="568"/>
      <c r="CJ43" s="568"/>
      <c r="CK43" s="568"/>
      <c r="CL43" s="568"/>
      <c r="CM43" s="568"/>
      <c r="CN43" s="568"/>
      <c r="CO43" s="568"/>
      <c r="CP43" s="568"/>
      <c r="CQ43" s="568"/>
      <c r="CR43" s="568"/>
      <c r="CS43" s="568"/>
      <c r="CT43" s="568"/>
      <c r="CU43" s="568"/>
      <c r="CV43" s="568"/>
      <c r="CW43" s="568"/>
      <c r="CX43" s="568"/>
      <c r="CY43" s="568"/>
      <c r="CZ43" s="568"/>
      <c r="DA43" s="568"/>
      <c r="DB43" s="568"/>
      <c r="DC43" s="568"/>
      <c r="DD43" s="568"/>
      <c r="DE43" s="568"/>
      <c r="DF43" s="568"/>
      <c r="DG43" s="568"/>
      <c r="DH43" s="568"/>
      <c r="DI43" s="568"/>
      <c r="DJ43" s="568"/>
      <c r="DK43" s="568"/>
      <c r="DL43" s="568"/>
      <c r="DM43" s="568"/>
      <c r="DN43" s="568"/>
      <c r="DO43" s="568"/>
      <c r="DP43" s="568"/>
      <c r="DQ43" s="568"/>
      <c r="DR43" s="568"/>
      <c r="DS43" s="568"/>
      <c r="DT43" s="568"/>
      <c r="DU43" s="568"/>
      <c r="DV43" s="568"/>
      <c r="DW43" s="568"/>
      <c r="DX43" s="568"/>
      <c r="DY43" s="568"/>
      <c r="DZ43" s="568"/>
      <c r="EA43" s="568"/>
      <c r="EB43" s="568"/>
      <c r="EC43" s="568"/>
      <c r="ED43" s="568"/>
      <c r="EE43" s="568"/>
      <c r="EF43" s="568"/>
      <c r="EG43" s="568"/>
      <c r="EH43" s="568"/>
      <c r="EI43" s="568"/>
      <c r="EJ43" s="568"/>
      <c r="EK43" s="568"/>
      <c r="EL43" s="568"/>
      <c r="EM43" s="568"/>
      <c r="EN43" s="568"/>
      <c r="EO43" s="568"/>
      <c r="EP43" s="568"/>
      <c r="EQ43" s="568"/>
      <c r="ER43" s="568"/>
      <c r="ES43" s="568"/>
      <c r="ET43" s="568"/>
      <c r="EU43" s="568"/>
      <c r="EV43" s="568"/>
      <c r="EW43" s="568"/>
      <c r="EX43" s="568"/>
      <c r="EY43" s="568"/>
      <c r="EZ43" s="568"/>
      <c r="FA43" s="568"/>
      <c r="FB43" s="568"/>
      <c r="FC43" s="568"/>
      <c r="FD43" s="568"/>
      <c r="FE43" s="568"/>
      <c r="FF43" s="568"/>
      <c r="FG43" s="568"/>
      <c r="FH43" s="568"/>
      <c r="FI43" s="568"/>
      <c r="FJ43" s="568"/>
      <c r="FK43" s="568"/>
      <c r="FL43" s="568"/>
      <c r="FM43" s="568"/>
      <c r="FN43" s="568"/>
      <c r="FO43" s="568"/>
      <c r="FP43" s="568"/>
      <c r="FQ43" s="568"/>
      <c r="FR43" s="568"/>
      <c r="FS43" s="568"/>
      <c r="FT43" s="568"/>
      <c r="FU43" s="568"/>
      <c r="FV43" s="568"/>
      <c r="FW43" s="568"/>
      <c r="FX43" s="568"/>
      <c r="FY43" s="568"/>
      <c r="FZ43" s="568"/>
      <c r="GA43" s="568"/>
      <c r="GB43" s="568"/>
      <c r="GC43" s="568"/>
      <c r="GD43" s="568"/>
      <c r="GE43" s="568"/>
      <c r="GF43" s="568"/>
      <c r="GG43" s="568"/>
      <c r="GH43" s="568"/>
      <c r="GI43" s="568"/>
      <c r="GJ43" s="568"/>
      <c r="GK43" s="568"/>
      <c r="GL43" s="568"/>
      <c r="GM43" s="568"/>
      <c r="GN43" s="568"/>
      <c r="GO43" s="568"/>
      <c r="GP43" s="568"/>
      <c r="GQ43" s="568"/>
      <c r="GR43" s="568"/>
      <c r="GS43" s="568"/>
      <c r="GT43" s="568"/>
      <c r="GU43" s="568"/>
      <c r="GV43" s="568"/>
      <c r="GW43" s="568"/>
      <c r="GX43" s="568"/>
      <c r="GY43" s="568"/>
      <c r="GZ43" s="568"/>
      <c r="HA43" s="568"/>
      <c r="HB43" s="568"/>
      <c r="HC43" s="568"/>
      <c r="HD43" s="568"/>
      <c r="HE43" s="568"/>
      <c r="HF43" s="568"/>
      <c r="HG43" s="568"/>
      <c r="HH43" s="568"/>
      <c r="HI43" s="568"/>
      <c r="HJ43" s="568"/>
      <c r="HK43" s="568"/>
    </row>
    <row r="44" spans="1:219" s="158" customFormat="1" ht="30" customHeight="1" thickBot="1" x14ac:dyDescent="0.25">
      <c r="A44" s="539" t="s">
        <v>964</v>
      </c>
      <c r="B44" s="331" t="s">
        <v>655</v>
      </c>
      <c r="C44" s="464" t="s">
        <v>874</v>
      </c>
      <c r="D44" s="645"/>
      <c r="E44" s="1188"/>
      <c r="F44" s="1719" t="s">
        <v>2222</v>
      </c>
    </row>
    <row r="45" spans="1:219" s="158" customFormat="1" ht="30" customHeight="1" thickBot="1" x14ac:dyDescent="0.25">
      <c r="A45" s="567" t="s">
        <v>965</v>
      </c>
      <c r="B45" s="351" t="s">
        <v>661</v>
      </c>
      <c r="C45" s="1180" t="s">
        <v>658</v>
      </c>
      <c r="D45" s="646"/>
      <c r="E45" s="1190"/>
      <c r="F45" s="1719" t="s">
        <v>1272</v>
      </c>
    </row>
    <row r="46" spans="1:219" s="158" customFormat="1" ht="30" customHeight="1" thickBot="1" x14ac:dyDescent="0.25">
      <c r="A46" s="539" t="s">
        <v>966</v>
      </c>
      <c r="B46" s="331" t="s">
        <v>662</v>
      </c>
      <c r="C46" s="464" t="s">
        <v>660</v>
      </c>
      <c r="D46" s="645"/>
      <c r="E46" s="1188"/>
      <c r="F46" s="1719" t="s">
        <v>1272</v>
      </c>
    </row>
    <row r="47" spans="1:219" s="158" customFormat="1" ht="30" customHeight="1" thickBot="1" x14ac:dyDescent="0.25">
      <c r="A47" s="539" t="s">
        <v>967</v>
      </c>
      <c r="B47" s="351" t="s">
        <v>703</v>
      </c>
      <c r="C47" s="1180" t="s">
        <v>659</v>
      </c>
      <c r="D47" s="646"/>
      <c r="E47" s="1190"/>
      <c r="F47" s="1719" t="s">
        <v>1272</v>
      </c>
    </row>
    <row r="48" spans="1:219" s="158" customFormat="1" ht="30" customHeight="1" thickBot="1" x14ac:dyDescent="0.25">
      <c r="A48" s="567" t="s">
        <v>968</v>
      </c>
      <c r="B48" s="331" t="s">
        <v>792</v>
      </c>
      <c r="C48" s="464" t="s">
        <v>872</v>
      </c>
      <c r="D48" s="645"/>
      <c r="E48" s="1188"/>
      <c r="F48" s="1719" t="s">
        <v>1272</v>
      </c>
    </row>
    <row r="49" spans="1:219" ht="30" customHeight="1" thickBot="1" x14ac:dyDescent="0.25">
      <c r="A49" s="539" t="s">
        <v>969</v>
      </c>
      <c r="B49" s="351" t="s">
        <v>657</v>
      </c>
      <c r="C49" s="1374" t="s">
        <v>2457</v>
      </c>
      <c r="D49" s="646"/>
      <c r="E49" s="1190"/>
      <c r="F49" s="1721" t="s">
        <v>2157</v>
      </c>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8"/>
      <c r="AY49" s="568"/>
      <c r="AZ49" s="568"/>
      <c r="BA49" s="568"/>
      <c r="BB49" s="568"/>
      <c r="BC49" s="568"/>
      <c r="BD49" s="568"/>
      <c r="BE49" s="568"/>
      <c r="BF49" s="568"/>
      <c r="BG49" s="568"/>
      <c r="BH49" s="568"/>
      <c r="BI49" s="568"/>
      <c r="BJ49" s="568"/>
      <c r="BK49" s="568"/>
      <c r="BL49" s="568"/>
      <c r="BM49" s="568"/>
      <c r="BN49" s="568"/>
      <c r="BO49" s="568"/>
      <c r="BP49" s="568"/>
      <c r="BQ49" s="568"/>
      <c r="BR49" s="568"/>
      <c r="BS49" s="568"/>
      <c r="BT49" s="568"/>
      <c r="BU49" s="568"/>
      <c r="BV49" s="568"/>
      <c r="BW49" s="568"/>
      <c r="BX49" s="568"/>
      <c r="BY49" s="568"/>
      <c r="BZ49" s="568"/>
      <c r="CA49" s="568"/>
      <c r="CB49" s="568"/>
      <c r="CC49" s="568"/>
      <c r="CD49" s="568"/>
      <c r="CE49" s="568"/>
      <c r="CF49" s="568"/>
      <c r="CG49" s="568"/>
      <c r="CH49" s="568"/>
      <c r="CI49" s="568"/>
      <c r="CJ49" s="568"/>
      <c r="CK49" s="568"/>
      <c r="CL49" s="568"/>
      <c r="CM49" s="568"/>
      <c r="CN49" s="568"/>
      <c r="CO49" s="568"/>
      <c r="CP49" s="568"/>
      <c r="CQ49" s="568"/>
      <c r="CR49" s="568"/>
      <c r="CS49" s="568"/>
      <c r="CT49" s="568"/>
      <c r="CU49" s="568"/>
      <c r="CV49" s="568"/>
      <c r="CW49" s="568"/>
      <c r="CX49" s="568"/>
      <c r="CY49" s="568"/>
      <c r="CZ49" s="568"/>
      <c r="DA49" s="568"/>
      <c r="DB49" s="568"/>
      <c r="DC49" s="568"/>
      <c r="DD49" s="568"/>
      <c r="DE49" s="568"/>
      <c r="DF49" s="568"/>
      <c r="DG49" s="568"/>
      <c r="DH49" s="568"/>
      <c r="DI49" s="568"/>
      <c r="DJ49" s="568"/>
      <c r="DK49" s="568"/>
      <c r="DL49" s="568"/>
      <c r="DM49" s="568"/>
      <c r="DN49" s="568"/>
      <c r="DO49" s="568"/>
      <c r="DP49" s="568"/>
      <c r="DQ49" s="568"/>
      <c r="DR49" s="568"/>
      <c r="DS49" s="568"/>
      <c r="DT49" s="568"/>
      <c r="DU49" s="568"/>
      <c r="DV49" s="568"/>
      <c r="DW49" s="568"/>
      <c r="DX49" s="568"/>
      <c r="DY49" s="568"/>
      <c r="DZ49" s="568"/>
      <c r="EA49" s="568"/>
      <c r="EB49" s="568"/>
      <c r="EC49" s="568"/>
      <c r="ED49" s="568"/>
      <c r="EE49" s="568"/>
      <c r="EF49" s="568"/>
      <c r="EG49" s="568"/>
      <c r="EH49" s="568"/>
      <c r="EI49" s="568"/>
      <c r="EJ49" s="568"/>
      <c r="EK49" s="568"/>
      <c r="EL49" s="568"/>
      <c r="EM49" s="568"/>
      <c r="EN49" s="568"/>
      <c r="EO49" s="568"/>
      <c r="EP49" s="568"/>
      <c r="EQ49" s="568"/>
      <c r="ER49" s="568"/>
      <c r="ES49" s="568"/>
      <c r="ET49" s="568"/>
      <c r="EU49" s="568"/>
      <c r="EV49" s="568"/>
      <c r="EW49" s="568"/>
      <c r="EX49" s="568"/>
      <c r="EY49" s="568"/>
      <c r="EZ49" s="568"/>
      <c r="FA49" s="568"/>
      <c r="FB49" s="568"/>
      <c r="FC49" s="568"/>
      <c r="FD49" s="568"/>
      <c r="FE49" s="568"/>
      <c r="FF49" s="568"/>
      <c r="FG49" s="568"/>
      <c r="FH49" s="568"/>
      <c r="FI49" s="568"/>
      <c r="FJ49" s="568"/>
      <c r="FK49" s="568"/>
      <c r="FL49" s="568"/>
      <c r="FM49" s="568"/>
      <c r="FN49" s="568"/>
      <c r="FO49" s="568"/>
      <c r="FP49" s="568"/>
      <c r="FQ49" s="568"/>
      <c r="FR49" s="568"/>
      <c r="FS49" s="568"/>
      <c r="FT49" s="568"/>
      <c r="FU49" s="568"/>
      <c r="FV49" s="568"/>
      <c r="FW49" s="568"/>
      <c r="FX49" s="568"/>
      <c r="FY49" s="568"/>
      <c r="FZ49" s="568"/>
      <c r="GA49" s="568"/>
      <c r="GB49" s="568"/>
      <c r="GC49" s="568"/>
      <c r="GD49" s="568"/>
      <c r="GE49" s="568"/>
      <c r="GF49" s="568"/>
      <c r="GG49" s="568"/>
      <c r="GH49" s="568"/>
      <c r="GI49" s="568"/>
      <c r="GJ49" s="568"/>
      <c r="GK49" s="568"/>
      <c r="GL49" s="568"/>
      <c r="GM49" s="568"/>
      <c r="GN49" s="568"/>
      <c r="GO49" s="568"/>
      <c r="GP49" s="568"/>
      <c r="GQ49" s="568"/>
      <c r="GR49" s="568"/>
      <c r="GS49" s="568"/>
      <c r="GT49" s="568"/>
      <c r="GU49" s="568"/>
      <c r="GV49" s="568"/>
      <c r="GW49" s="568"/>
      <c r="GX49" s="568"/>
      <c r="GY49" s="568"/>
      <c r="GZ49" s="568"/>
      <c r="HA49" s="568"/>
      <c r="HB49" s="568"/>
      <c r="HC49" s="568"/>
      <c r="HD49" s="568"/>
      <c r="HE49" s="568"/>
      <c r="HF49" s="568"/>
      <c r="HG49" s="568"/>
      <c r="HH49" s="568"/>
      <c r="HI49" s="568"/>
      <c r="HJ49" s="568"/>
      <c r="HK49" s="568"/>
    </row>
    <row r="50" spans="1:219" ht="30" customHeight="1" thickBot="1" x14ac:dyDescent="0.25">
      <c r="A50" s="539" t="s">
        <v>970</v>
      </c>
      <c r="B50" s="331" t="s">
        <v>656</v>
      </c>
      <c r="C50" s="464" t="s">
        <v>2149</v>
      </c>
      <c r="D50" s="645"/>
      <c r="E50" s="1188"/>
      <c r="F50" s="1721" t="s">
        <v>1980</v>
      </c>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8"/>
      <c r="AN50" s="568"/>
      <c r="AO50" s="568"/>
      <c r="AP50" s="568"/>
      <c r="AQ50" s="568"/>
      <c r="AR50" s="568"/>
      <c r="AS50" s="568"/>
      <c r="AT50" s="568"/>
      <c r="AU50" s="568"/>
      <c r="AV50" s="568"/>
      <c r="AW50" s="568"/>
      <c r="AX50" s="568"/>
      <c r="AY50" s="568"/>
      <c r="AZ50" s="568"/>
      <c r="BA50" s="568"/>
      <c r="BB50" s="568"/>
      <c r="BC50" s="568"/>
      <c r="BD50" s="568"/>
      <c r="BE50" s="568"/>
      <c r="BF50" s="568"/>
      <c r="BG50" s="568"/>
      <c r="BH50" s="568"/>
      <c r="BI50" s="568"/>
      <c r="BJ50" s="568"/>
      <c r="BK50" s="568"/>
      <c r="BL50" s="568"/>
      <c r="BM50" s="568"/>
      <c r="BN50" s="568"/>
      <c r="BO50" s="568"/>
      <c r="BP50" s="568"/>
      <c r="BQ50" s="568"/>
      <c r="BR50" s="568"/>
      <c r="BS50" s="568"/>
      <c r="BT50" s="568"/>
      <c r="BU50" s="568"/>
      <c r="BV50" s="568"/>
      <c r="BW50" s="568"/>
      <c r="BX50" s="568"/>
      <c r="BY50" s="568"/>
      <c r="BZ50" s="568"/>
      <c r="CA50" s="568"/>
      <c r="CB50" s="568"/>
      <c r="CC50" s="568"/>
      <c r="CD50" s="568"/>
      <c r="CE50" s="568"/>
      <c r="CF50" s="568"/>
      <c r="CG50" s="568"/>
      <c r="CH50" s="568"/>
      <c r="CI50" s="568"/>
      <c r="CJ50" s="568"/>
      <c r="CK50" s="568"/>
      <c r="CL50" s="568"/>
      <c r="CM50" s="568"/>
      <c r="CN50" s="568"/>
      <c r="CO50" s="568"/>
      <c r="CP50" s="568"/>
      <c r="CQ50" s="568"/>
      <c r="CR50" s="568"/>
      <c r="CS50" s="568"/>
      <c r="CT50" s="568"/>
      <c r="CU50" s="568"/>
      <c r="CV50" s="568"/>
      <c r="CW50" s="568"/>
      <c r="CX50" s="568"/>
      <c r="CY50" s="568"/>
      <c r="CZ50" s="568"/>
      <c r="DA50" s="568"/>
      <c r="DB50" s="568"/>
      <c r="DC50" s="568"/>
      <c r="DD50" s="568"/>
      <c r="DE50" s="568"/>
      <c r="DF50" s="568"/>
      <c r="DG50" s="568"/>
      <c r="DH50" s="568"/>
      <c r="DI50" s="568"/>
      <c r="DJ50" s="568"/>
      <c r="DK50" s="568"/>
      <c r="DL50" s="568"/>
      <c r="DM50" s="568"/>
      <c r="DN50" s="568"/>
      <c r="DO50" s="568"/>
      <c r="DP50" s="568"/>
      <c r="DQ50" s="568"/>
      <c r="DR50" s="568"/>
      <c r="DS50" s="568"/>
      <c r="DT50" s="568"/>
      <c r="DU50" s="568"/>
      <c r="DV50" s="568"/>
      <c r="DW50" s="568"/>
      <c r="DX50" s="568"/>
      <c r="DY50" s="568"/>
      <c r="DZ50" s="568"/>
      <c r="EA50" s="568"/>
      <c r="EB50" s="568"/>
      <c r="EC50" s="568"/>
      <c r="ED50" s="568"/>
      <c r="EE50" s="568"/>
      <c r="EF50" s="568"/>
      <c r="EG50" s="568"/>
      <c r="EH50" s="568"/>
      <c r="EI50" s="568"/>
      <c r="EJ50" s="568"/>
      <c r="EK50" s="568"/>
      <c r="EL50" s="568"/>
      <c r="EM50" s="568"/>
      <c r="EN50" s="568"/>
      <c r="EO50" s="568"/>
      <c r="EP50" s="568"/>
      <c r="EQ50" s="568"/>
      <c r="ER50" s="568"/>
      <c r="ES50" s="568"/>
      <c r="ET50" s="568"/>
      <c r="EU50" s="568"/>
      <c r="EV50" s="568"/>
      <c r="EW50" s="568"/>
      <c r="EX50" s="568"/>
      <c r="EY50" s="568"/>
      <c r="EZ50" s="568"/>
      <c r="FA50" s="568"/>
      <c r="FB50" s="568"/>
      <c r="FC50" s="568"/>
      <c r="FD50" s="568"/>
      <c r="FE50" s="568"/>
      <c r="FF50" s="568"/>
      <c r="FG50" s="568"/>
      <c r="FH50" s="568"/>
      <c r="FI50" s="568"/>
      <c r="FJ50" s="568"/>
      <c r="FK50" s="568"/>
      <c r="FL50" s="568"/>
      <c r="FM50" s="568"/>
      <c r="FN50" s="568"/>
      <c r="FO50" s="568"/>
      <c r="FP50" s="568"/>
      <c r="FQ50" s="568"/>
      <c r="FR50" s="568"/>
      <c r="FS50" s="568"/>
      <c r="FT50" s="568"/>
      <c r="FU50" s="568"/>
      <c r="FV50" s="568"/>
      <c r="FW50" s="568"/>
      <c r="FX50" s="568"/>
      <c r="FY50" s="568"/>
      <c r="FZ50" s="568"/>
      <c r="GA50" s="568"/>
      <c r="GB50" s="568"/>
      <c r="GC50" s="568"/>
      <c r="GD50" s="568"/>
      <c r="GE50" s="568"/>
      <c r="GF50" s="568"/>
      <c r="GG50" s="568"/>
      <c r="GH50" s="568"/>
      <c r="GI50" s="568"/>
      <c r="GJ50" s="568"/>
      <c r="GK50" s="568"/>
      <c r="GL50" s="568"/>
      <c r="GM50" s="568"/>
      <c r="GN50" s="568"/>
      <c r="GO50" s="568"/>
      <c r="GP50" s="568"/>
      <c r="GQ50" s="568"/>
      <c r="GR50" s="568"/>
      <c r="GS50" s="568"/>
      <c r="GT50" s="568"/>
      <c r="GU50" s="568"/>
      <c r="GV50" s="568"/>
      <c r="GW50" s="568"/>
      <c r="GX50" s="568"/>
      <c r="GY50" s="568"/>
      <c r="GZ50" s="568"/>
      <c r="HA50" s="568"/>
      <c r="HB50" s="568"/>
      <c r="HC50" s="568"/>
      <c r="HD50" s="568"/>
      <c r="HE50" s="568"/>
      <c r="HF50" s="568"/>
      <c r="HG50" s="568"/>
      <c r="HH50" s="568"/>
      <c r="HI50" s="568"/>
      <c r="HJ50" s="568"/>
      <c r="HK50" s="568"/>
    </row>
    <row r="51" spans="1:219" ht="30" customHeight="1" thickBot="1" x14ac:dyDescent="0.25">
      <c r="A51" s="567" t="s">
        <v>971</v>
      </c>
      <c r="B51" s="351" t="s">
        <v>1968</v>
      </c>
      <c r="C51" s="351" t="s">
        <v>1968</v>
      </c>
      <c r="D51" s="646"/>
      <c r="E51" s="1190"/>
      <c r="F51" s="1719" t="s">
        <v>1969</v>
      </c>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c r="AS51" s="568"/>
      <c r="AT51" s="568"/>
      <c r="AU51" s="568"/>
      <c r="AV51" s="568"/>
      <c r="AW51" s="568"/>
      <c r="AX51" s="568"/>
      <c r="AY51" s="568"/>
      <c r="AZ51" s="568"/>
      <c r="BA51" s="568"/>
      <c r="BB51" s="568"/>
      <c r="BC51" s="568"/>
      <c r="BD51" s="568"/>
      <c r="BE51" s="568"/>
      <c r="BF51" s="568"/>
      <c r="BG51" s="568"/>
      <c r="BH51" s="568"/>
      <c r="BI51" s="568"/>
      <c r="BJ51" s="568"/>
      <c r="BK51" s="568"/>
      <c r="BL51" s="568"/>
      <c r="BM51" s="568"/>
      <c r="BN51" s="568"/>
      <c r="BO51" s="568"/>
      <c r="BP51" s="568"/>
      <c r="BQ51" s="568"/>
      <c r="BR51" s="568"/>
      <c r="BS51" s="568"/>
      <c r="BT51" s="568"/>
      <c r="BU51" s="568"/>
      <c r="BV51" s="568"/>
      <c r="BW51" s="568"/>
      <c r="BX51" s="568"/>
      <c r="BY51" s="568"/>
      <c r="BZ51" s="568"/>
      <c r="CA51" s="568"/>
      <c r="CB51" s="568"/>
      <c r="CC51" s="568"/>
      <c r="CD51" s="568"/>
      <c r="CE51" s="568"/>
      <c r="CF51" s="568"/>
      <c r="CG51" s="568"/>
      <c r="CH51" s="568"/>
      <c r="CI51" s="568"/>
      <c r="CJ51" s="568"/>
      <c r="CK51" s="568"/>
      <c r="CL51" s="568"/>
      <c r="CM51" s="568"/>
      <c r="CN51" s="568"/>
      <c r="CO51" s="568"/>
      <c r="CP51" s="568"/>
      <c r="CQ51" s="568"/>
      <c r="CR51" s="568"/>
      <c r="CS51" s="568"/>
      <c r="CT51" s="568"/>
      <c r="CU51" s="568"/>
      <c r="CV51" s="568"/>
      <c r="CW51" s="568"/>
      <c r="CX51" s="568"/>
      <c r="CY51" s="568"/>
      <c r="CZ51" s="568"/>
      <c r="DA51" s="568"/>
      <c r="DB51" s="568"/>
      <c r="DC51" s="568"/>
      <c r="DD51" s="568"/>
      <c r="DE51" s="568"/>
      <c r="DF51" s="568"/>
      <c r="DG51" s="568"/>
      <c r="DH51" s="568"/>
      <c r="DI51" s="568"/>
      <c r="DJ51" s="568"/>
      <c r="DK51" s="568"/>
      <c r="DL51" s="568"/>
      <c r="DM51" s="568"/>
      <c r="DN51" s="568"/>
      <c r="DO51" s="568"/>
      <c r="DP51" s="568"/>
      <c r="DQ51" s="568"/>
      <c r="DR51" s="568"/>
      <c r="DS51" s="568"/>
      <c r="DT51" s="568"/>
      <c r="DU51" s="568"/>
      <c r="DV51" s="568"/>
      <c r="DW51" s="568"/>
      <c r="DX51" s="568"/>
      <c r="DY51" s="568"/>
      <c r="DZ51" s="568"/>
      <c r="EA51" s="568"/>
      <c r="EB51" s="568"/>
      <c r="EC51" s="568"/>
      <c r="ED51" s="568"/>
      <c r="EE51" s="568"/>
      <c r="EF51" s="568"/>
      <c r="EG51" s="568"/>
      <c r="EH51" s="568"/>
      <c r="EI51" s="568"/>
      <c r="EJ51" s="568"/>
      <c r="EK51" s="568"/>
      <c r="EL51" s="568"/>
      <c r="EM51" s="568"/>
      <c r="EN51" s="568"/>
      <c r="EO51" s="568"/>
      <c r="EP51" s="568"/>
      <c r="EQ51" s="568"/>
      <c r="ER51" s="568"/>
      <c r="ES51" s="568"/>
      <c r="ET51" s="568"/>
      <c r="EU51" s="568"/>
      <c r="EV51" s="568"/>
      <c r="EW51" s="568"/>
      <c r="EX51" s="568"/>
      <c r="EY51" s="568"/>
      <c r="EZ51" s="568"/>
      <c r="FA51" s="568"/>
      <c r="FB51" s="568"/>
      <c r="FC51" s="568"/>
      <c r="FD51" s="568"/>
      <c r="FE51" s="568"/>
      <c r="FF51" s="568"/>
      <c r="FG51" s="568"/>
      <c r="FH51" s="568"/>
      <c r="FI51" s="568"/>
      <c r="FJ51" s="568"/>
      <c r="FK51" s="568"/>
      <c r="FL51" s="568"/>
      <c r="FM51" s="568"/>
      <c r="FN51" s="568"/>
      <c r="FO51" s="568"/>
      <c r="FP51" s="568"/>
      <c r="FQ51" s="568"/>
      <c r="FR51" s="568"/>
      <c r="FS51" s="568"/>
      <c r="FT51" s="568"/>
      <c r="FU51" s="568"/>
      <c r="FV51" s="568"/>
      <c r="FW51" s="568"/>
      <c r="FX51" s="568"/>
      <c r="FY51" s="568"/>
      <c r="FZ51" s="568"/>
      <c r="GA51" s="568"/>
      <c r="GB51" s="568"/>
      <c r="GC51" s="568"/>
      <c r="GD51" s="568"/>
      <c r="GE51" s="568"/>
      <c r="GF51" s="568"/>
      <c r="GG51" s="568"/>
      <c r="GH51" s="568"/>
      <c r="GI51" s="568"/>
      <c r="GJ51" s="568"/>
      <c r="GK51" s="568"/>
      <c r="GL51" s="568"/>
      <c r="GM51" s="568"/>
      <c r="GN51" s="568"/>
      <c r="GO51" s="568"/>
      <c r="GP51" s="568"/>
      <c r="GQ51" s="568"/>
      <c r="GR51" s="568"/>
      <c r="GS51" s="568"/>
      <c r="GT51" s="568"/>
      <c r="GU51" s="568"/>
      <c r="GV51" s="568"/>
      <c r="GW51" s="568"/>
      <c r="GX51" s="568"/>
      <c r="GY51" s="568"/>
      <c r="GZ51" s="568"/>
      <c r="HA51" s="568"/>
      <c r="HB51" s="568"/>
      <c r="HC51" s="568"/>
      <c r="HD51" s="568"/>
      <c r="HE51" s="568"/>
      <c r="HF51" s="568"/>
      <c r="HG51" s="568"/>
      <c r="HH51" s="568"/>
      <c r="HI51" s="568"/>
      <c r="HJ51" s="568"/>
      <c r="HK51" s="568"/>
    </row>
    <row r="52" spans="1:219" ht="30" customHeight="1" thickBot="1" x14ac:dyDescent="0.25">
      <c r="A52" s="539" t="s">
        <v>972</v>
      </c>
      <c r="B52" s="331" t="s">
        <v>666</v>
      </c>
      <c r="C52" s="464" t="s">
        <v>901</v>
      </c>
      <c r="D52" s="645"/>
      <c r="E52" s="1188"/>
      <c r="F52" s="1719" t="s">
        <v>1251</v>
      </c>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8"/>
      <c r="AR52" s="568"/>
      <c r="AS52" s="568"/>
      <c r="AT52" s="568"/>
      <c r="AU52" s="568"/>
      <c r="AV52" s="568"/>
      <c r="AW52" s="568"/>
      <c r="AX52" s="568"/>
      <c r="AY52" s="568"/>
      <c r="AZ52" s="568"/>
      <c r="BA52" s="568"/>
      <c r="BB52" s="568"/>
      <c r="BC52" s="568"/>
      <c r="BD52" s="568"/>
      <c r="BE52" s="568"/>
      <c r="BF52" s="568"/>
      <c r="BG52" s="568"/>
      <c r="BH52" s="568"/>
      <c r="BI52" s="568"/>
      <c r="BJ52" s="568"/>
      <c r="BK52" s="568"/>
      <c r="BL52" s="568"/>
      <c r="BM52" s="568"/>
      <c r="BN52" s="568"/>
      <c r="BO52" s="568"/>
      <c r="BP52" s="568"/>
      <c r="BQ52" s="568"/>
      <c r="BR52" s="568"/>
      <c r="BS52" s="568"/>
      <c r="BT52" s="568"/>
      <c r="BU52" s="568"/>
      <c r="BV52" s="568"/>
      <c r="BW52" s="568"/>
      <c r="BX52" s="568"/>
      <c r="BY52" s="568"/>
      <c r="BZ52" s="568"/>
      <c r="CA52" s="568"/>
      <c r="CB52" s="568"/>
      <c r="CC52" s="568"/>
      <c r="CD52" s="568"/>
      <c r="CE52" s="568"/>
      <c r="CF52" s="568"/>
      <c r="CG52" s="568"/>
      <c r="CH52" s="568"/>
      <c r="CI52" s="568"/>
      <c r="CJ52" s="568"/>
      <c r="CK52" s="568"/>
      <c r="CL52" s="568"/>
      <c r="CM52" s="568"/>
      <c r="CN52" s="568"/>
      <c r="CO52" s="568"/>
      <c r="CP52" s="568"/>
      <c r="CQ52" s="568"/>
      <c r="CR52" s="568"/>
      <c r="CS52" s="568"/>
      <c r="CT52" s="568"/>
      <c r="CU52" s="568"/>
      <c r="CV52" s="568"/>
      <c r="CW52" s="568"/>
      <c r="CX52" s="568"/>
      <c r="CY52" s="568"/>
      <c r="CZ52" s="568"/>
      <c r="DA52" s="568"/>
      <c r="DB52" s="568"/>
      <c r="DC52" s="568"/>
      <c r="DD52" s="568"/>
      <c r="DE52" s="568"/>
      <c r="DF52" s="568"/>
      <c r="DG52" s="568"/>
      <c r="DH52" s="568"/>
      <c r="DI52" s="568"/>
      <c r="DJ52" s="568"/>
      <c r="DK52" s="568"/>
      <c r="DL52" s="568"/>
      <c r="DM52" s="568"/>
      <c r="DN52" s="568"/>
      <c r="DO52" s="568"/>
      <c r="DP52" s="568"/>
      <c r="DQ52" s="568"/>
      <c r="DR52" s="568"/>
      <c r="DS52" s="568"/>
      <c r="DT52" s="568"/>
      <c r="DU52" s="568"/>
      <c r="DV52" s="568"/>
      <c r="DW52" s="568"/>
      <c r="DX52" s="568"/>
      <c r="DY52" s="568"/>
      <c r="DZ52" s="568"/>
      <c r="EA52" s="568"/>
      <c r="EB52" s="568"/>
      <c r="EC52" s="568"/>
      <c r="ED52" s="568"/>
      <c r="EE52" s="568"/>
      <c r="EF52" s="568"/>
      <c r="EG52" s="568"/>
      <c r="EH52" s="568"/>
      <c r="EI52" s="568"/>
      <c r="EJ52" s="568"/>
      <c r="EK52" s="568"/>
      <c r="EL52" s="568"/>
      <c r="EM52" s="568"/>
      <c r="EN52" s="568"/>
      <c r="EO52" s="568"/>
      <c r="EP52" s="568"/>
      <c r="EQ52" s="568"/>
      <c r="ER52" s="568"/>
      <c r="ES52" s="568"/>
      <c r="ET52" s="568"/>
      <c r="EU52" s="568"/>
      <c r="EV52" s="568"/>
      <c r="EW52" s="568"/>
      <c r="EX52" s="568"/>
      <c r="EY52" s="568"/>
      <c r="EZ52" s="568"/>
      <c r="FA52" s="568"/>
      <c r="FB52" s="568"/>
      <c r="FC52" s="568"/>
      <c r="FD52" s="568"/>
      <c r="FE52" s="568"/>
      <c r="FF52" s="568"/>
      <c r="FG52" s="568"/>
      <c r="FH52" s="568"/>
      <c r="FI52" s="568"/>
      <c r="FJ52" s="568"/>
      <c r="FK52" s="568"/>
      <c r="FL52" s="568"/>
      <c r="FM52" s="568"/>
      <c r="FN52" s="568"/>
      <c r="FO52" s="568"/>
      <c r="FP52" s="568"/>
      <c r="FQ52" s="568"/>
      <c r="FR52" s="568"/>
      <c r="FS52" s="568"/>
      <c r="FT52" s="568"/>
      <c r="FU52" s="568"/>
      <c r="FV52" s="568"/>
      <c r="FW52" s="568"/>
      <c r="FX52" s="568"/>
      <c r="FY52" s="568"/>
      <c r="FZ52" s="568"/>
      <c r="GA52" s="568"/>
      <c r="GB52" s="568"/>
      <c r="GC52" s="568"/>
      <c r="GD52" s="568"/>
      <c r="GE52" s="568"/>
      <c r="GF52" s="568"/>
      <c r="GG52" s="568"/>
      <c r="GH52" s="568"/>
      <c r="GI52" s="568"/>
      <c r="GJ52" s="568"/>
      <c r="GK52" s="568"/>
      <c r="GL52" s="568"/>
      <c r="GM52" s="568"/>
      <c r="GN52" s="568"/>
      <c r="GO52" s="568"/>
      <c r="GP52" s="568"/>
      <c r="GQ52" s="568"/>
      <c r="GR52" s="568"/>
      <c r="GS52" s="568"/>
      <c r="GT52" s="568"/>
      <c r="GU52" s="568"/>
      <c r="GV52" s="568"/>
      <c r="GW52" s="568"/>
      <c r="GX52" s="568"/>
      <c r="GY52" s="568"/>
      <c r="GZ52" s="568"/>
      <c r="HA52" s="568"/>
      <c r="HB52" s="568"/>
      <c r="HC52" s="568"/>
      <c r="HD52" s="568"/>
      <c r="HE52" s="568"/>
      <c r="HF52" s="568"/>
      <c r="HG52" s="568"/>
      <c r="HH52" s="568"/>
      <c r="HI52" s="568"/>
      <c r="HJ52" s="568"/>
      <c r="HK52" s="568"/>
    </row>
    <row r="53" spans="1:219" ht="30" customHeight="1" thickBot="1" x14ac:dyDescent="0.25">
      <c r="A53" s="546" t="s">
        <v>2225</v>
      </c>
      <c r="B53" s="797" t="s">
        <v>2038</v>
      </c>
      <c r="C53" s="797" t="s">
        <v>2163</v>
      </c>
      <c r="D53" s="645"/>
      <c r="E53" s="1188"/>
      <c r="F53" s="1720" t="s">
        <v>2040</v>
      </c>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8"/>
      <c r="AZ53" s="568"/>
      <c r="BA53" s="568"/>
      <c r="BB53" s="568"/>
      <c r="BC53" s="568"/>
      <c r="BD53" s="568"/>
      <c r="BE53" s="568"/>
      <c r="BF53" s="568"/>
      <c r="BG53" s="568"/>
      <c r="BH53" s="568"/>
      <c r="BI53" s="568"/>
      <c r="BJ53" s="568"/>
      <c r="BK53" s="568"/>
      <c r="BL53" s="568"/>
      <c r="BM53" s="568"/>
      <c r="BN53" s="568"/>
      <c r="BO53" s="568"/>
      <c r="BP53" s="568"/>
      <c r="BQ53" s="568"/>
      <c r="BR53" s="568"/>
      <c r="BS53" s="568"/>
      <c r="BT53" s="568"/>
      <c r="BU53" s="568"/>
      <c r="BV53" s="568"/>
      <c r="BW53" s="568"/>
      <c r="BX53" s="568"/>
      <c r="BY53" s="568"/>
      <c r="BZ53" s="568"/>
      <c r="CA53" s="568"/>
      <c r="CB53" s="568"/>
      <c r="CC53" s="568"/>
      <c r="CD53" s="568"/>
      <c r="CE53" s="568"/>
      <c r="CF53" s="568"/>
      <c r="CG53" s="568"/>
      <c r="CH53" s="568"/>
      <c r="CI53" s="568"/>
      <c r="CJ53" s="568"/>
      <c r="CK53" s="568"/>
      <c r="CL53" s="568"/>
      <c r="CM53" s="568"/>
      <c r="CN53" s="568"/>
      <c r="CO53" s="568"/>
      <c r="CP53" s="568"/>
      <c r="CQ53" s="568"/>
      <c r="CR53" s="568"/>
      <c r="CS53" s="568"/>
      <c r="CT53" s="568"/>
      <c r="CU53" s="568"/>
      <c r="CV53" s="568"/>
      <c r="CW53" s="568"/>
      <c r="CX53" s="568"/>
      <c r="CY53" s="568"/>
      <c r="CZ53" s="568"/>
      <c r="DA53" s="568"/>
      <c r="DB53" s="568"/>
      <c r="DC53" s="568"/>
      <c r="DD53" s="568"/>
      <c r="DE53" s="568"/>
      <c r="DF53" s="568"/>
      <c r="DG53" s="568"/>
      <c r="DH53" s="568"/>
      <c r="DI53" s="568"/>
      <c r="DJ53" s="568"/>
      <c r="DK53" s="568"/>
      <c r="DL53" s="568"/>
      <c r="DM53" s="568"/>
      <c r="DN53" s="568"/>
      <c r="DO53" s="568"/>
      <c r="DP53" s="568"/>
      <c r="DQ53" s="568"/>
      <c r="DR53" s="568"/>
      <c r="DS53" s="568"/>
      <c r="DT53" s="568"/>
      <c r="DU53" s="568"/>
      <c r="DV53" s="568"/>
      <c r="DW53" s="568"/>
      <c r="DX53" s="568"/>
      <c r="DY53" s="568"/>
      <c r="DZ53" s="568"/>
      <c r="EA53" s="568"/>
      <c r="EB53" s="568"/>
      <c r="EC53" s="568"/>
      <c r="ED53" s="568"/>
      <c r="EE53" s="568"/>
      <c r="EF53" s="568"/>
      <c r="EG53" s="568"/>
      <c r="EH53" s="568"/>
      <c r="EI53" s="568"/>
      <c r="EJ53" s="568"/>
      <c r="EK53" s="568"/>
      <c r="EL53" s="568"/>
      <c r="EM53" s="568"/>
      <c r="EN53" s="568"/>
      <c r="EO53" s="568"/>
      <c r="EP53" s="568"/>
      <c r="EQ53" s="568"/>
      <c r="ER53" s="568"/>
      <c r="ES53" s="568"/>
      <c r="ET53" s="568"/>
      <c r="EU53" s="568"/>
      <c r="EV53" s="568"/>
      <c r="EW53" s="568"/>
      <c r="EX53" s="568"/>
      <c r="EY53" s="568"/>
      <c r="EZ53" s="568"/>
      <c r="FA53" s="568"/>
      <c r="FB53" s="568"/>
      <c r="FC53" s="568"/>
      <c r="FD53" s="568"/>
      <c r="FE53" s="568"/>
      <c r="FF53" s="568"/>
      <c r="FG53" s="568"/>
      <c r="FH53" s="568"/>
      <c r="FI53" s="568"/>
      <c r="FJ53" s="568"/>
      <c r="FK53" s="568"/>
      <c r="FL53" s="568"/>
      <c r="FM53" s="568"/>
      <c r="FN53" s="568"/>
      <c r="FO53" s="568"/>
      <c r="FP53" s="568"/>
      <c r="FQ53" s="568"/>
      <c r="FR53" s="568"/>
      <c r="FS53" s="568"/>
      <c r="FT53" s="568"/>
      <c r="FU53" s="568"/>
      <c r="FV53" s="568"/>
      <c r="FW53" s="568"/>
      <c r="FX53" s="568"/>
      <c r="FY53" s="568"/>
      <c r="FZ53" s="568"/>
      <c r="GA53" s="568"/>
      <c r="GB53" s="568"/>
      <c r="GC53" s="568"/>
      <c r="GD53" s="568"/>
      <c r="GE53" s="568"/>
      <c r="GF53" s="568"/>
      <c r="GG53" s="568"/>
      <c r="GH53" s="568"/>
      <c r="GI53" s="568"/>
      <c r="GJ53" s="568"/>
      <c r="GK53" s="568"/>
      <c r="GL53" s="568"/>
      <c r="GM53" s="568"/>
      <c r="GN53" s="568"/>
      <c r="GO53" s="568"/>
      <c r="GP53" s="568"/>
      <c r="GQ53" s="568"/>
      <c r="GR53" s="568"/>
      <c r="GS53" s="568"/>
      <c r="GT53" s="568"/>
      <c r="GU53" s="568"/>
      <c r="GV53" s="568"/>
      <c r="GW53" s="568"/>
      <c r="GX53" s="568"/>
      <c r="GY53" s="568"/>
      <c r="GZ53" s="568"/>
      <c r="HA53" s="568"/>
      <c r="HB53" s="568"/>
      <c r="HC53" s="568"/>
      <c r="HD53" s="568"/>
      <c r="HE53" s="568"/>
      <c r="HF53" s="568"/>
      <c r="HG53" s="568"/>
      <c r="HH53" s="568"/>
      <c r="HI53" s="568"/>
      <c r="HJ53" s="568"/>
      <c r="HK53" s="568"/>
    </row>
    <row r="54" spans="1:219" ht="30" customHeight="1" thickBot="1" x14ac:dyDescent="0.25">
      <c r="A54" s="1183" t="s">
        <v>2226</v>
      </c>
      <c r="B54" s="1182" t="s">
        <v>2039</v>
      </c>
      <c r="C54" s="1182" t="s">
        <v>2162</v>
      </c>
      <c r="D54" s="645"/>
      <c r="E54" s="1188"/>
      <c r="F54" s="1720" t="s">
        <v>2221</v>
      </c>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68"/>
      <c r="AL54" s="568"/>
      <c r="AM54" s="568"/>
      <c r="AN54" s="568"/>
      <c r="AO54" s="568"/>
      <c r="AP54" s="568"/>
      <c r="AQ54" s="568"/>
      <c r="AR54" s="568"/>
      <c r="AS54" s="568"/>
      <c r="AT54" s="568"/>
      <c r="AU54" s="568"/>
      <c r="AV54" s="568"/>
      <c r="AW54" s="568"/>
      <c r="AX54" s="568"/>
      <c r="AY54" s="568"/>
      <c r="AZ54" s="568"/>
      <c r="BA54" s="568"/>
      <c r="BB54" s="568"/>
      <c r="BC54" s="568"/>
      <c r="BD54" s="568"/>
      <c r="BE54" s="568"/>
      <c r="BF54" s="568"/>
      <c r="BG54" s="568"/>
      <c r="BH54" s="568"/>
      <c r="BI54" s="568"/>
      <c r="BJ54" s="568"/>
      <c r="BK54" s="568"/>
      <c r="BL54" s="568"/>
      <c r="BM54" s="568"/>
      <c r="BN54" s="568"/>
      <c r="BO54" s="568"/>
      <c r="BP54" s="568"/>
      <c r="BQ54" s="568"/>
      <c r="BR54" s="568"/>
      <c r="BS54" s="568"/>
      <c r="BT54" s="568"/>
      <c r="BU54" s="568"/>
      <c r="BV54" s="568"/>
      <c r="BW54" s="568"/>
      <c r="BX54" s="568"/>
      <c r="BY54" s="568"/>
      <c r="BZ54" s="568"/>
      <c r="CA54" s="568"/>
      <c r="CB54" s="568"/>
      <c r="CC54" s="568"/>
      <c r="CD54" s="568"/>
      <c r="CE54" s="568"/>
      <c r="CF54" s="568"/>
      <c r="CG54" s="568"/>
      <c r="CH54" s="568"/>
      <c r="CI54" s="568"/>
      <c r="CJ54" s="568"/>
      <c r="CK54" s="568"/>
      <c r="CL54" s="568"/>
      <c r="CM54" s="568"/>
      <c r="CN54" s="568"/>
      <c r="CO54" s="568"/>
      <c r="CP54" s="568"/>
      <c r="CQ54" s="568"/>
      <c r="CR54" s="568"/>
      <c r="CS54" s="568"/>
      <c r="CT54" s="568"/>
      <c r="CU54" s="568"/>
      <c r="CV54" s="568"/>
      <c r="CW54" s="568"/>
      <c r="CX54" s="568"/>
      <c r="CY54" s="568"/>
      <c r="CZ54" s="568"/>
      <c r="DA54" s="568"/>
      <c r="DB54" s="568"/>
      <c r="DC54" s="568"/>
      <c r="DD54" s="568"/>
      <c r="DE54" s="568"/>
      <c r="DF54" s="568"/>
      <c r="DG54" s="568"/>
      <c r="DH54" s="568"/>
      <c r="DI54" s="568"/>
      <c r="DJ54" s="568"/>
      <c r="DK54" s="568"/>
      <c r="DL54" s="568"/>
      <c r="DM54" s="568"/>
      <c r="DN54" s="568"/>
      <c r="DO54" s="568"/>
      <c r="DP54" s="568"/>
      <c r="DQ54" s="568"/>
      <c r="DR54" s="568"/>
      <c r="DS54" s="568"/>
      <c r="DT54" s="568"/>
      <c r="DU54" s="568"/>
      <c r="DV54" s="568"/>
      <c r="DW54" s="568"/>
      <c r="DX54" s="568"/>
      <c r="DY54" s="568"/>
      <c r="DZ54" s="568"/>
      <c r="EA54" s="568"/>
      <c r="EB54" s="568"/>
      <c r="EC54" s="568"/>
      <c r="ED54" s="568"/>
      <c r="EE54" s="568"/>
      <c r="EF54" s="568"/>
      <c r="EG54" s="568"/>
      <c r="EH54" s="568"/>
      <c r="EI54" s="568"/>
      <c r="EJ54" s="568"/>
      <c r="EK54" s="568"/>
      <c r="EL54" s="568"/>
      <c r="EM54" s="568"/>
      <c r="EN54" s="568"/>
      <c r="EO54" s="568"/>
      <c r="EP54" s="568"/>
      <c r="EQ54" s="568"/>
      <c r="ER54" s="568"/>
      <c r="ES54" s="568"/>
      <c r="ET54" s="568"/>
      <c r="EU54" s="568"/>
      <c r="EV54" s="568"/>
      <c r="EW54" s="568"/>
      <c r="EX54" s="568"/>
      <c r="EY54" s="568"/>
      <c r="EZ54" s="568"/>
      <c r="FA54" s="568"/>
      <c r="FB54" s="568"/>
      <c r="FC54" s="568"/>
      <c r="FD54" s="568"/>
      <c r="FE54" s="568"/>
      <c r="FF54" s="568"/>
      <c r="FG54" s="568"/>
      <c r="FH54" s="568"/>
      <c r="FI54" s="568"/>
      <c r="FJ54" s="568"/>
      <c r="FK54" s="568"/>
      <c r="FL54" s="568"/>
      <c r="FM54" s="568"/>
      <c r="FN54" s="568"/>
      <c r="FO54" s="568"/>
      <c r="FP54" s="568"/>
      <c r="FQ54" s="568"/>
      <c r="FR54" s="568"/>
      <c r="FS54" s="568"/>
      <c r="FT54" s="568"/>
      <c r="FU54" s="568"/>
      <c r="FV54" s="568"/>
      <c r="FW54" s="568"/>
      <c r="FX54" s="568"/>
      <c r="FY54" s="568"/>
      <c r="FZ54" s="568"/>
      <c r="GA54" s="568"/>
      <c r="GB54" s="568"/>
      <c r="GC54" s="568"/>
      <c r="GD54" s="568"/>
      <c r="GE54" s="568"/>
      <c r="GF54" s="568"/>
      <c r="GG54" s="568"/>
      <c r="GH54" s="568"/>
      <c r="GI54" s="568"/>
      <c r="GJ54" s="568"/>
      <c r="GK54" s="568"/>
      <c r="GL54" s="568"/>
      <c r="GM54" s="568"/>
      <c r="GN54" s="568"/>
      <c r="GO54" s="568"/>
      <c r="GP54" s="568"/>
      <c r="GQ54" s="568"/>
      <c r="GR54" s="568"/>
      <c r="GS54" s="568"/>
      <c r="GT54" s="568"/>
      <c r="GU54" s="568"/>
      <c r="GV54" s="568"/>
      <c r="GW54" s="568"/>
      <c r="GX54" s="568"/>
      <c r="GY54" s="568"/>
      <c r="GZ54" s="568"/>
      <c r="HA54" s="568"/>
      <c r="HB54" s="568"/>
      <c r="HC54" s="568"/>
      <c r="HD54" s="568"/>
      <c r="HE54" s="568"/>
      <c r="HF54" s="568"/>
      <c r="HG54" s="568"/>
      <c r="HH54" s="568"/>
      <c r="HI54" s="568"/>
      <c r="HJ54" s="568"/>
      <c r="HK54" s="568"/>
    </row>
    <row r="55" spans="1:219" ht="30" customHeight="1" thickBot="1" x14ac:dyDescent="0.25">
      <c r="A55" s="546" t="s">
        <v>2227</v>
      </c>
      <c r="B55" s="797" t="s">
        <v>2410</v>
      </c>
      <c r="C55" s="546" t="s">
        <v>2161</v>
      </c>
      <c r="D55" s="645"/>
      <c r="E55" s="1188"/>
      <c r="F55" s="1721" t="s">
        <v>2158</v>
      </c>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568"/>
      <c r="AY55" s="568"/>
      <c r="AZ55" s="568"/>
      <c r="BA55" s="568"/>
      <c r="BB55" s="568"/>
      <c r="BC55" s="568"/>
      <c r="BD55" s="568"/>
      <c r="BE55" s="568"/>
      <c r="BF55" s="568"/>
      <c r="BG55" s="568"/>
      <c r="BH55" s="568"/>
      <c r="BI55" s="568"/>
      <c r="BJ55" s="568"/>
      <c r="BK55" s="568"/>
      <c r="BL55" s="568"/>
      <c r="BM55" s="568"/>
      <c r="BN55" s="568"/>
      <c r="BO55" s="568"/>
      <c r="BP55" s="568"/>
      <c r="BQ55" s="568"/>
      <c r="BR55" s="568"/>
      <c r="BS55" s="568"/>
      <c r="BT55" s="568"/>
      <c r="BU55" s="568"/>
      <c r="BV55" s="568"/>
      <c r="BW55" s="568"/>
      <c r="BX55" s="568"/>
      <c r="BY55" s="568"/>
      <c r="BZ55" s="568"/>
      <c r="CA55" s="568"/>
      <c r="CB55" s="568"/>
      <c r="CC55" s="568"/>
      <c r="CD55" s="568"/>
      <c r="CE55" s="568"/>
      <c r="CF55" s="568"/>
      <c r="CG55" s="568"/>
      <c r="CH55" s="568"/>
      <c r="CI55" s="568"/>
      <c r="CJ55" s="568"/>
      <c r="CK55" s="568"/>
      <c r="CL55" s="568"/>
      <c r="CM55" s="568"/>
      <c r="CN55" s="568"/>
      <c r="CO55" s="568"/>
      <c r="CP55" s="568"/>
      <c r="CQ55" s="568"/>
      <c r="CR55" s="568"/>
      <c r="CS55" s="568"/>
      <c r="CT55" s="568"/>
      <c r="CU55" s="568"/>
      <c r="CV55" s="568"/>
      <c r="CW55" s="568"/>
      <c r="CX55" s="568"/>
      <c r="CY55" s="568"/>
      <c r="CZ55" s="568"/>
      <c r="DA55" s="568"/>
      <c r="DB55" s="568"/>
      <c r="DC55" s="568"/>
      <c r="DD55" s="568"/>
      <c r="DE55" s="568"/>
      <c r="DF55" s="568"/>
      <c r="DG55" s="568"/>
      <c r="DH55" s="568"/>
      <c r="DI55" s="568"/>
      <c r="DJ55" s="568"/>
      <c r="DK55" s="568"/>
      <c r="DL55" s="568"/>
      <c r="DM55" s="568"/>
      <c r="DN55" s="568"/>
      <c r="DO55" s="568"/>
      <c r="DP55" s="568"/>
      <c r="DQ55" s="568"/>
      <c r="DR55" s="568"/>
      <c r="DS55" s="568"/>
      <c r="DT55" s="568"/>
      <c r="DU55" s="568"/>
      <c r="DV55" s="568"/>
      <c r="DW55" s="568"/>
      <c r="DX55" s="568"/>
      <c r="DY55" s="568"/>
      <c r="DZ55" s="568"/>
      <c r="EA55" s="568"/>
      <c r="EB55" s="568"/>
      <c r="EC55" s="568"/>
      <c r="ED55" s="568"/>
      <c r="EE55" s="568"/>
      <c r="EF55" s="568"/>
      <c r="EG55" s="568"/>
      <c r="EH55" s="568"/>
      <c r="EI55" s="568"/>
      <c r="EJ55" s="568"/>
      <c r="EK55" s="568"/>
      <c r="EL55" s="568"/>
      <c r="EM55" s="568"/>
      <c r="EN55" s="568"/>
      <c r="EO55" s="568"/>
      <c r="EP55" s="568"/>
      <c r="EQ55" s="568"/>
      <c r="ER55" s="568"/>
      <c r="ES55" s="568"/>
      <c r="ET55" s="568"/>
      <c r="EU55" s="568"/>
      <c r="EV55" s="568"/>
      <c r="EW55" s="568"/>
      <c r="EX55" s="568"/>
      <c r="EY55" s="568"/>
      <c r="EZ55" s="568"/>
      <c r="FA55" s="568"/>
      <c r="FB55" s="568"/>
      <c r="FC55" s="568"/>
      <c r="FD55" s="568"/>
      <c r="FE55" s="568"/>
      <c r="FF55" s="568"/>
      <c r="FG55" s="568"/>
      <c r="FH55" s="568"/>
      <c r="FI55" s="568"/>
      <c r="FJ55" s="568"/>
      <c r="FK55" s="568"/>
      <c r="FL55" s="568"/>
      <c r="FM55" s="568"/>
      <c r="FN55" s="568"/>
      <c r="FO55" s="568"/>
      <c r="FP55" s="568"/>
      <c r="FQ55" s="568"/>
      <c r="FR55" s="568"/>
      <c r="FS55" s="568"/>
      <c r="FT55" s="568"/>
      <c r="FU55" s="568"/>
      <c r="FV55" s="568"/>
      <c r="FW55" s="568"/>
      <c r="FX55" s="568"/>
      <c r="FY55" s="568"/>
      <c r="FZ55" s="568"/>
      <c r="GA55" s="568"/>
      <c r="GB55" s="568"/>
      <c r="GC55" s="568"/>
      <c r="GD55" s="568"/>
      <c r="GE55" s="568"/>
      <c r="GF55" s="568"/>
      <c r="GG55" s="568"/>
      <c r="GH55" s="568"/>
      <c r="GI55" s="568"/>
      <c r="GJ55" s="568"/>
      <c r="GK55" s="568"/>
      <c r="GL55" s="568"/>
      <c r="GM55" s="568"/>
      <c r="GN55" s="568"/>
      <c r="GO55" s="568"/>
      <c r="GP55" s="568"/>
      <c r="GQ55" s="568"/>
      <c r="GR55" s="568"/>
      <c r="GS55" s="568"/>
      <c r="GT55" s="568"/>
      <c r="GU55" s="568"/>
      <c r="GV55" s="568"/>
      <c r="GW55" s="568"/>
      <c r="GX55" s="568"/>
      <c r="GY55" s="568"/>
      <c r="GZ55" s="568"/>
      <c r="HA55" s="568"/>
      <c r="HB55" s="568"/>
      <c r="HC55" s="568"/>
      <c r="HD55" s="568"/>
      <c r="HE55" s="568"/>
      <c r="HF55" s="568"/>
      <c r="HG55" s="568"/>
      <c r="HH55" s="568"/>
      <c r="HI55" s="568"/>
      <c r="HJ55" s="568"/>
      <c r="HK55" s="568"/>
    </row>
    <row r="56" spans="1:219" s="1192" customFormat="1" ht="30" customHeight="1" thickBot="1" x14ac:dyDescent="0.25">
      <c r="A56" s="545" t="s">
        <v>2228</v>
      </c>
      <c r="B56" s="1181" t="s">
        <v>1981</v>
      </c>
      <c r="C56" s="545" t="s">
        <v>1765</v>
      </c>
      <c r="D56" s="645"/>
      <c r="E56" s="1188"/>
      <c r="F56" s="1720" t="s">
        <v>1982</v>
      </c>
    </row>
    <row r="57" spans="1:219" s="1192" customFormat="1" ht="30" customHeight="1" thickBot="1" x14ac:dyDescent="0.25">
      <c r="A57" s="546" t="s">
        <v>2229</v>
      </c>
      <c r="B57" s="797" t="s">
        <v>1983</v>
      </c>
      <c r="C57" s="546" t="s">
        <v>2167</v>
      </c>
      <c r="D57" s="645"/>
      <c r="E57" s="1188"/>
      <c r="F57" s="1722"/>
    </row>
    <row r="58" spans="1:219" ht="30" customHeight="1" thickBot="1" x14ac:dyDescent="0.25">
      <c r="A58" s="1169" t="s">
        <v>2224</v>
      </c>
      <c r="B58" s="1167" t="s">
        <v>2224</v>
      </c>
      <c r="C58" s="1168" t="s">
        <v>2224</v>
      </c>
      <c r="D58" s="645"/>
      <c r="E58" s="1188"/>
      <c r="F58" s="1723" t="s">
        <v>2224</v>
      </c>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68"/>
      <c r="AL58" s="568"/>
      <c r="AM58" s="568"/>
      <c r="AN58" s="568"/>
      <c r="AO58" s="568"/>
      <c r="AP58" s="568"/>
      <c r="AQ58" s="568"/>
      <c r="AR58" s="568"/>
      <c r="AS58" s="568"/>
      <c r="AT58" s="568"/>
      <c r="AU58" s="568"/>
      <c r="AV58" s="568"/>
      <c r="AW58" s="568"/>
      <c r="AX58" s="568"/>
      <c r="AY58" s="568"/>
      <c r="AZ58" s="568"/>
      <c r="BA58" s="568"/>
      <c r="BB58" s="568"/>
      <c r="BC58" s="568"/>
      <c r="BD58" s="568"/>
      <c r="BE58" s="568"/>
      <c r="BF58" s="568"/>
      <c r="BG58" s="568"/>
      <c r="BH58" s="568"/>
      <c r="BI58" s="568"/>
      <c r="BJ58" s="568"/>
      <c r="BK58" s="568"/>
      <c r="BL58" s="568"/>
      <c r="BM58" s="568"/>
      <c r="BN58" s="568"/>
      <c r="BO58" s="568"/>
      <c r="BP58" s="568"/>
      <c r="BQ58" s="568"/>
      <c r="BR58" s="568"/>
      <c r="BS58" s="568"/>
      <c r="BT58" s="568"/>
      <c r="BU58" s="568"/>
      <c r="BV58" s="568"/>
      <c r="BW58" s="568"/>
      <c r="BX58" s="568"/>
      <c r="BY58" s="568"/>
      <c r="BZ58" s="568"/>
      <c r="CA58" s="568"/>
      <c r="CB58" s="568"/>
      <c r="CC58" s="568"/>
      <c r="CD58" s="568"/>
      <c r="CE58" s="568"/>
      <c r="CF58" s="568"/>
      <c r="CG58" s="568"/>
      <c r="CH58" s="568"/>
      <c r="CI58" s="568"/>
      <c r="CJ58" s="568"/>
      <c r="CK58" s="568"/>
      <c r="CL58" s="568"/>
      <c r="CM58" s="568"/>
      <c r="CN58" s="568"/>
      <c r="CO58" s="568"/>
      <c r="CP58" s="568"/>
      <c r="CQ58" s="568"/>
      <c r="CR58" s="568"/>
      <c r="CS58" s="568"/>
      <c r="CT58" s="568"/>
      <c r="CU58" s="568"/>
      <c r="CV58" s="568"/>
      <c r="CW58" s="568"/>
      <c r="CX58" s="568"/>
      <c r="CY58" s="568"/>
      <c r="CZ58" s="568"/>
      <c r="DA58" s="568"/>
      <c r="DB58" s="568"/>
      <c r="DC58" s="568"/>
      <c r="DD58" s="568"/>
      <c r="DE58" s="568"/>
      <c r="DF58" s="568"/>
      <c r="DG58" s="568"/>
      <c r="DH58" s="568"/>
      <c r="DI58" s="568"/>
      <c r="DJ58" s="568"/>
      <c r="DK58" s="568"/>
      <c r="DL58" s="568"/>
      <c r="DM58" s="568"/>
      <c r="DN58" s="568"/>
      <c r="DO58" s="568"/>
      <c r="DP58" s="568"/>
      <c r="DQ58" s="568"/>
      <c r="DR58" s="568"/>
      <c r="DS58" s="568"/>
      <c r="DT58" s="568"/>
      <c r="DU58" s="568"/>
      <c r="DV58" s="568"/>
      <c r="DW58" s="568"/>
      <c r="DX58" s="568"/>
      <c r="DY58" s="568"/>
      <c r="DZ58" s="568"/>
      <c r="EA58" s="568"/>
      <c r="EB58" s="568"/>
      <c r="EC58" s="568"/>
      <c r="ED58" s="568"/>
      <c r="EE58" s="568"/>
      <c r="EF58" s="568"/>
      <c r="EG58" s="568"/>
      <c r="EH58" s="568"/>
      <c r="EI58" s="568"/>
      <c r="EJ58" s="568"/>
      <c r="EK58" s="568"/>
      <c r="EL58" s="568"/>
      <c r="EM58" s="568"/>
      <c r="EN58" s="568"/>
      <c r="EO58" s="568"/>
      <c r="EP58" s="568"/>
      <c r="EQ58" s="568"/>
      <c r="ER58" s="568"/>
      <c r="ES58" s="568"/>
      <c r="ET58" s="568"/>
      <c r="EU58" s="568"/>
      <c r="EV58" s="568"/>
      <c r="EW58" s="568"/>
      <c r="EX58" s="568"/>
      <c r="EY58" s="568"/>
      <c r="EZ58" s="568"/>
      <c r="FA58" s="568"/>
      <c r="FB58" s="568"/>
      <c r="FC58" s="568"/>
      <c r="FD58" s="568"/>
      <c r="FE58" s="568"/>
      <c r="FF58" s="568"/>
      <c r="FG58" s="568"/>
      <c r="FH58" s="568"/>
      <c r="FI58" s="568"/>
      <c r="FJ58" s="568"/>
      <c r="FK58" s="568"/>
      <c r="FL58" s="568"/>
      <c r="FM58" s="568"/>
      <c r="FN58" s="568"/>
      <c r="FO58" s="568"/>
      <c r="FP58" s="568"/>
      <c r="FQ58" s="568"/>
      <c r="FR58" s="568"/>
      <c r="FS58" s="568"/>
      <c r="FT58" s="568"/>
      <c r="FU58" s="568"/>
      <c r="FV58" s="568"/>
      <c r="FW58" s="568"/>
      <c r="FX58" s="568"/>
      <c r="FY58" s="568"/>
      <c r="FZ58" s="568"/>
      <c r="GA58" s="568"/>
      <c r="GB58" s="568"/>
      <c r="GC58" s="568"/>
      <c r="GD58" s="568"/>
      <c r="GE58" s="568"/>
      <c r="GF58" s="568"/>
      <c r="GG58" s="568"/>
      <c r="GH58" s="568"/>
      <c r="GI58" s="568"/>
      <c r="GJ58" s="568"/>
      <c r="GK58" s="568"/>
      <c r="GL58" s="568"/>
      <c r="GM58" s="568"/>
      <c r="GN58" s="568"/>
      <c r="GO58" s="568"/>
      <c r="GP58" s="568"/>
      <c r="GQ58" s="568"/>
      <c r="GR58" s="568"/>
      <c r="GS58" s="568"/>
      <c r="GT58" s="568"/>
      <c r="GU58" s="568"/>
      <c r="GV58" s="568"/>
      <c r="GW58" s="568"/>
      <c r="GX58" s="568"/>
      <c r="GY58" s="568"/>
      <c r="GZ58" s="568"/>
      <c r="HA58" s="568"/>
      <c r="HB58" s="568"/>
      <c r="HC58" s="568"/>
      <c r="HD58" s="568"/>
      <c r="HE58" s="568"/>
      <c r="HF58" s="568"/>
      <c r="HG58" s="568"/>
      <c r="HH58" s="568"/>
      <c r="HI58" s="568"/>
      <c r="HJ58" s="568"/>
      <c r="HK58" s="568"/>
    </row>
  </sheetData>
  <sheetProtection password="C4B9" sheet="1" objects="1" scenarios="1" pivotTables="0"/>
  <sortState columnSort="1" ref="G1:DD58">
    <sortCondition ref="G1:HN1"/>
  </sortState>
  <customSheetViews>
    <customSheetView guid="{B8E02330-2419-4DE6-AD01-7ACC7A5D18DD}" scale="90" topLeftCell="A227">
      <selection activeCell="C248" sqref="C248"/>
      <rowBreaks count="9" manualBreakCount="9">
        <brk id="17" max="4" man="1"/>
        <brk id="48" max="4" man="1"/>
        <brk id="76" max="4" man="1"/>
        <brk id="111" max="4" man="1"/>
        <brk id="130" max="4" man="1"/>
        <brk id="150" max="4" man="1"/>
        <brk id="169" max="4" man="1"/>
        <brk id="189" max="4" man="1"/>
        <brk id="215" max="4" man="1"/>
      </rowBreaks>
      <pageMargins left="0.25" right="0.25" top="0.75" bottom="0.75" header="0.3" footer="0.3"/>
      <printOptions headings="1"/>
      <pageSetup scale="75" orientation="landscape" r:id="rId1"/>
      <headerFooter alignWithMargins="0">
        <oddFooter>&amp;LWESPUS beta version 1, by Dr. Paul Adamus&amp;R&amp;P&amp;N</oddFooter>
      </headerFooter>
    </customSheetView>
  </customSheetViews>
  <phoneticPr fontId="12" type="noConversion"/>
  <printOptions headings="1"/>
  <pageMargins left="0.25" right="0.25" top="0.75" bottom="0.75" header="0.3" footer="0.3"/>
  <pageSetup scale="70" orientation="landscape" r:id="rId2"/>
  <headerFooter alignWithMargins="0">
    <oddFooter>&amp;CForm OF Non-tidal&amp;R&amp;P</oddFooter>
  </headerFooter>
  <rowBreaks count="1" manualBreakCount="1">
    <brk id="6" min="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D57"/>
  <sheetViews>
    <sheetView workbookViewId="0">
      <pane xSplit="1" topLeftCell="B1" activePane="topRight" state="frozen"/>
      <selection pane="topRight" activeCell="A32" sqref="A32"/>
    </sheetView>
  </sheetViews>
  <sheetFormatPr defaultColWidth="9.33203125" defaultRowHeight="12.75" x14ac:dyDescent="0.2"/>
  <cols>
    <col min="1" max="1" width="60.5" style="300" customWidth="1"/>
    <col min="2" max="2" width="9.83203125" style="300" customWidth="1"/>
    <col min="3" max="3" width="8.1640625" style="300" customWidth="1"/>
    <col min="4" max="4" width="8.1640625" style="302" customWidth="1"/>
    <col min="5" max="39" width="9.5" style="300" bestFit="1" customWidth="1"/>
    <col min="40" max="40" width="9.6640625" style="300" bestFit="1" customWidth="1"/>
    <col min="41" max="47" width="9.5" style="300" bestFit="1" customWidth="1"/>
    <col min="48" max="51" width="9.6640625" style="300" bestFit="1" customWidth="1"/>
    <col min="52" max="58" width="9.5" style="300" bestFit="1" customWidth="1"/>
    <col min="59" max="61" width="9.6640625" style="300" bestFit="1" customWidth="1"/>
    <col min="62" max="70" width="9.5" style="300" bestFit="1" customWidth="1"/>
    <col min="71" max="71" width="9.6640625" style="300" bestFit="1" customWidth="1"/>
    <col min="72" max="72" width="9.5" style="300" bestFit="1" customWidth="1"/>
    <col min="73" max="73" width="9.6640625" style="300" bestFit="1" customWidth="1"/>
    <col min="74" max="75" width="9.5" style="300" bestFit="1" customWidth="1"/>
    <col min="76" max="76" width="9.6640625" style="300" bestFit="1" customWidth="1"/>
    <col min="77" max="77" width="9.5" style="300" bestFit="1" customWidth="1"/>
    <col min="78" max="78" width="9.6640625" style="300" bestFit="1" customWidth="1"/>
    <col min="79" max="83" width="9.5" style="300" bestFit="1" customWidth="1"/>
    <col min="84" max="84" width="9.6640625" style="300" bestFit="1" customWidth="1"/>
    <col min="85" max="85" width="9.5" style="300" bestFit="1" customWidth="1"/>
    <col min="86" max="86" width="9.6640625" style="300" bestFit="1" customWidth="1"/>
    <col min="87" max="88" width="9.5" style="300" bestFit="1" customWidth="1"/>
    <col min="89" max="89" width="9.6640625" style="300" bestFit="1" customWidth="1"/>
    <col min="90" max="91" width="9.5" style="300" bestFit="1" customWidth="1"/>
    <col min="92" max="93" width="9.6640625" style="300" bestFit="1" customWidth="1"/>
    <col min="94" max="95" width="9.5" style="300" bestFit="1" customWidth="1"/>
    <col min="96" max="97" width="9.6640625" style="300" bestFit="1" customWidth="1"/>
    <col min="98" max="99" width="9.5" style="300" bestFit="1" customWidth="1"/>
    <col min="100" max="102" width="9.6640625" style="300" bestFit="1" customWidth="1"/>
    <col min="103" max="103" width="9.5" style="300" bestFit="1" customWidth="1"/>
    <col min="104" max="104" width="19.5" style="300" customWidth="1"/>
    <col min="105" max="105" width="17.6640625" style="300" customWidth="1"/>
    <col min="106" max="106" width="21.1640625" style="300" customWidth="1"/>
    <col min="107" max="107" width="20.83203125" style="300" customWidth="1"/>
    <col min="108" max="108" width="20.1640625" style="300" customWidth="1"/>
    <col min="109" max="109" width="21.6640625" style="300" customWidth="1"/>
    <col min="110" max="110" width="62.33203125" style="300" bestFit="1" customWidth="1"/>
    <col min="111" max="111" width="12" style="300" bestFit="1" customWidth="1"/>
    <col min="112" max="115" width="9.6640625" style="300" bestFit="1" customWidth="1"/>
    <col min="116" max="118" width="9.5" style="300" bestFit="1" customWidth="1"/>
    <col min="119" max="119" width="9.6640625" style="300" bestFit="1" customWidth="1"/>
    <col min="120" max="139" width="9.5" style="300" bestFit="1" customWidth="1"/>
    <col min="140" max="140" width="9.6640625" style="300" bestFit="1" customWidth="1"/>
    <col min="141" max="141" width="9.5" style="300" bestFit="1" customWidth="1"/>
    <col min="142" max="142" width="9.6640625" style="300" bestFit="1" customWidth="1"/>
    <col min="143" max="151" width="9.5" style="300" bestFit="1" customWidth="1"/>
    <col min="152" max="154" width="9.6640625" style="300" bestFit="1" customWidth="1"/>
    <col min="155" max="155" width="9.5" style="300" bestFit="1" customWidth="1"/>
    <col min="156" max="158" width="9.6640625" style="300" bestFit="1" customWidth="1"/>
    <col min="159" max="159" width="9.5" style="300" bestFit="1" customWidth="1"/>
    <col min="160" max="163" width="9.6640625" style="300" bestFit="1" customWidth="1"/>
    <col min="164" max="174" width="9.5" style="300" bestFit="1" customWidth="1"/>
    <col min="175" max="175" width="9.6640625" style="300" bestFit="1" customWidth="1"/>
    <col min="176" max="178" width="9.5" style="300" bestFit="1" customWidth="1"/>
    <col min="179" max="181" width="9.6640625" style="300" bestFit="1" customWidth="1"/>
    <col min="182" max="183" width="9.5" style="300" bestFit="1" customWidth="1"/>
    <col min="184" max="186" width="9.6640625" style="300" bestFit="1" customWidth="1"/>
    <col min="187" max="187" width="9.5" style="300" bestFit="1" customWidth="1"/>
    <col min="188" max="189" width="9.6640625" style="300" bestFit="1" customWidth="1"/>
    <col min="190" max="191" width="9.5" style="300" bestFit="1" customWidth="1"/>
    <col min="192" max="193" width="9.6640625" style="300" bestFit="1" customWidth="1"/>
    <col min="194" max="194" width="9.5" style="300" bestFit="1" customWidth="1"/>
    <col min="195" max="195" width="9.6640625" style="300" bestFit="1" customWidth="1"/>
    <col min="196" max="198" width="9.5" style="300" bestFit="1" customWidth="1"/>
    <col min="199" max="202" width="9.6640625" style="300" bestFit="1" customWidth="1"/>
    <col min="203" max="203" width="9.5" style="300" bestFit="1" customWidth="1"/>
    <col min="204" max="204" width="7.1640625" style="300" customWidth="1"/>
    <col min="205" max="16384" width="9.33203125" style="300"/>
  </cols>
  <sheetData>
    <row r="1" spans="1:4" s="301" customFormat="1" ht="15" customHeight="1" x14ac:dyDescent="0.2">
      <c r="A1" s="1209" t="s">
        <v>2231</v>
      </c>
    </row>
    <row r="2" spans="1:4" s="1165" customFormat="1" ht="15" customHeight="1" x14ac:dyDescent="0.2">
      <c r="A2" s="1728" t="s">
        <v>2461</v>
      </c>
    </row>
    <row r="3" spans="1:4" s="1165" customFormat="1" ht="15" customHeight="1" x14ac:dyDescent="0.2">
      <c r="A3" s="1728" t="s">
        <v>266</v>
      </c>
    </row>
    <row r="4" spans="1:4" s="1165" customFormat="1" ht="15" customHeight="1" x14ac:dyDescent="0.2">
      <c r="A4" s="1728" t="s">
        <v>2459</v>
      </c>
    </row>
    <row r="5" spans="1:4" s="1165" customFormat="1" ht="15" customHeight="1" x14ac:dyDescent="0.2">
      <c r="A5" s="1728" t="s">
        <v>2460</v>
      </c>
    </row>
    <row r="6" spans="1:4" s="1165" customFormat="1" ht="15" customHeight="1" x14ac:dyDescent="0.2">
      <c r="A6" s="1728" t="s">
        <v>262</v>
      </c>
    </row>
    <row r="7" spans="1:4" s="1165" customFormat="1" ht="15" customHeight="1" x14ac:dyDescent="0.2">
      <c r="A7" s="1728" t="s">
        <v>51</v>
      </c>
    </row>
    <row r="8" spans="1:4" s="1165" customFormat="1" ht="15" customHeight="1" x14ac:dyDescent="0.2">
      <c r="A8" s="1728" t="s">
        <v>235</v>
      </c>
    </row>
    <row r="9" spans="1:4" s="1165" customFormat="1" ht="15" customHeight="1" x14ac:dyDescent="0.2">
      <c r="A9" s="1728" t="s">
        <v>705</v>
      </c>
    </row>
    <row r="10" spans="1:4" s="1165" customFormat="1" ht="15" customHeight="1" x14ac:dyDescent="0.2">
      <c r="A10" s="1728" t="s">
        <v>13</v>
      </c>
    </row>
    <row r="11" spans="1:4" s="1165" customFormat="1" ht="15" customHeight="1" x14ac:dyDescent="0.2">
      <c r="A11" s="1728" t="s">
        <v>65</v>
      </c>
    </row>
    <row r="12" spans="1:4" s="1165" customFormat="1" ht="15" customHeight="1" x14ac:dyDescent="0.2">
      <c r="A12" s="1728" t="s">
        <v>623</v>
      </c>
    </row>
    <row r="13" spans="1:4" s="1165" customFormat="1" ht="15" customHeight="1" x14ac:dyDescent="0.2">
      <c r="A13" s="1728" t="s">
        <v>157</v>
      </c>
    </row>
    <row r="14" spans="1:4" s="1165" customFormat="1" ht="15" customHeight="1" x14ac:dyDescent="0.2">
      <c r="A14" s="1728" t="s">
        <v>1249</v>
      </c>
    </row>
    <row r="15" spans="1:4" ht="15" customHeight="1" x14ac:dyDescent="0.2">
      <c r="A15" s="1728" t="s">
        <v>1958</v>
      </c>
      <c r="D15" s="300"/>
    </row>
    <row r="16" spans="1:4" s="1165" customFormat="1" ht="15" customHeight="1" x14ac:dyDescent="0.2">
      <c r="A16" s="1728" t="s">
        <v>654</v>
      </c>
    </row>
    <row r="17" spans="1:1" s="699" customFormat="1" ht="15" customHeight="1" x14ac:dyDescent="0.2">
      <c r="A17" s="1729"/>
    </row>
    <row r="18" spans="1:1" s="699" customFormat="1" ht="15" customHeight="1" x14ac:dyDescent="0.2">
      <c r="A18" s="1729"/>
    </row>
    <row r="19" spans="1:1" s="699" customFormat="1" ht="15" customHeight="1" x14ac:dyDescent="0.2">
      <c r="A19" s="1730" t="s">
        <v>1129</v>
      </c>
    </row>
    <row r="20" spans="1:1" s="699" customFormat="1" ht="15" customHeight="1" x14ac:dyDescent="0.2">
      <c r="A20" s="1731" t="s">
        <v>2461</v>
      </c>
    </row>
    <row r="21" spans="1:1" s="699" customFormat="1" ht="15" customHeight="1" x14ac:dyDescent="0.2">
      <c r="A21" s="1731" t="s">
        <v>266</v>
      </c>
    </row>
    <row r="22" spans="1:1" s="699" customFormat="1" ht="15" customHeight="1" x14ac:dyDescent="0.2">
      <c r="A22" s="1731" t="s">
        <v>2459</v>
      </c>
    </row>
    <row r="23" spans="1:1" s="699" customFormat="1" ht="15" customHeight="1" x14ac:dyDescent="0.2">
      <c r="A23" s="1731" t="s">
        <v>2460</v>
      </c>
    </row>
    <row r="24" spans="1:1" s="699" customFormat="1" ht="15" customHeight="1" x14ac:dyDescent="0.2">
      <c r="A24" s="1731" t="s">
        <v>262</v>
      </c>
    </row>
    <row r="25" spans="1:1" s="699" customFormat="1" ht="15" customHeight="1" x14ac:dyDescent="0.2">
      <c r="A25" s="1731" t="s">
        <v>51</v>
      </c>
    </row>
    <row r="26" spans="1:1" s="699" customFormat="1" ht="15" customHeight="1" x14ac:dyDescent="0.2">
      <c r="A26" s="1731" t="s">
        <v>235</v>
      </c>
    </row>
    <row r="27" spans="1:1" s="699" customFormat="1" ht="15" customHeight="1" x14ac:dyDescent="0.2">
      <c r="A27" s="1731" t="s">
        <v>705</v>
      </c>
    </row>
    <row r="28" spans="1:1" s="699" customFormat="1" ht="15" customHeight="1" x14ac:dyDescent="0.2">
      <c r="A28" s="1731" t="s">
        <v>13</v>
      </c>
    </row>
    <row r="29" spans="1:1" s="699" customFormat="1" ht="15" customHeight="1" x14ac:dyDescent="0.2">
      <c r="A29" s="1731" t="s">
        <v>65</v>
      </c>
    </row>
    <row r="30" spans="1:1" s="699" customFormat="1" ht="15" customHeight="1" x14ac:dyDescent="0.2">
      <c r="A30" s="1731" t="s">
        <v>623</v>
      </c>
    </row>
    <row r="31" spans="1:1" s="699" customFormat="1" ht="15" customHeight="1" x14ac:dyDescent="0.2">
      <c r="A31" s="1731" t="s">
        <v>157</v>
      </c>
    </row>
    <row r="32" spans="1:1" s="699" customFormat="1" ht="15" customHeight="1" x14ac:dyDescent="0.2">
      <c r="A32" s="1731" t="s">
        <v>1249</v>
      </c>
    </row>
    <row r="33" spans="1:4" ht="15" customHeight="1" x14ac:dyDescent="0.2">
      <c r="A33" s="1728" t="s">
        <v>1958</v>
      </c>
      <c r="D33" s="300"/>
    </row>
    <row r="34" spans="1:4" s="699" customFormat="1" ht="15" customHeight="1" x14ac:dyDescent="0.2">
      <c r="A34" s="1731" t="s">
        <v>654</v>
      </c>
    </row>
    <row r="35" spans="1:4" s="699" customFormat="1" ht="15" customHeight="1" x14ac:dyDescent="0.2">
      <c r="A35" s="1732"/>
    </row>
    <row r="36" spans="1:4" s="699" customFormat="1" ht="15" customHeight="1" x14ac:dyDescent="0.2">
      <c r="A36" s="1732"/>
    </row>
    <row r="37" spans="1:4" s="699" customFormat="1" ht="15" customHeight="1" x14ac:dyDescent="0.2">
      <c r="A37" s="1733" t="s">
        <v>2240</v>
      </c>
    </row>
    <row r="38" spans="1:4" s="699" customFormat="1" ht="15" customHeight="1" x14ac:dyDescent="0.2">
      <c r="A38" s="1734" t="s">
        <v>1317</v>
      </c>
    </row>
    <row r="39" spans="1:4" s="699" customFormat="1" ht="15" customHeight="1" x14ac:dyDescent="0.2">
      <c r="A39" s="1734" t="s">
        <v>1267</v>
      </c>
    </row>
    <row r="40" spans="1:4" s="699" customFormat="1" ht="15" customHeight="1" x14ac:dyDescent="0.2">
      <c r="A40" s="1734" t="s">
        <v>1268</v>
      </c>
    </row>
    <row r="41" spans="1:4" s="699" customFormat="1" ht="15" customHeight="1" x14ac:dyDescent="0.2">
      <c r="A41" s="1734" t="s">
        <v>1269</v>
      </c>
    </row>
    <row r="42" spans="1:4" s="699" customFormat="1" ht="15" customHeight="1" x14ac:dyDescent="0.2">
      <c r="A42" s="1734" t="s">
        <v>1318</v>
      </c>
    </row>
    <row r="43" spans="1:4" s="699" customFormat="1" ht="15" customHeight="1" x14ac:dyDescent="0.2">
      <c r="A43" s="1734" t="s">
        <v>2563</v>
      </c>
    </row>
    <row r="44" spans="1:4" s="699" customFormat="1" ht="15" customHeight="1" x14ac:dyDescent="0.2">
      <c r="A44" s="1734" t="s">
        <v>2556</v>
      </c>
    </row>
    <row r="45" spans="1:4" s="699" customFormat="1" ht="15" customHeight="1" x14ac:dyDescent="0.2">
      <c r="A45" s="1734" t="s">
        <v>1266</v>
      </c>
    </row>
    <row r="46" spans="1:4" s="699" customFormat="1" ht="15" customHeight="1" x14ac:dyDescent="0.2">
      <c r="A46" s="1734" t="s">
        <v>2557</v>
      </c>
    </row>
    <row r="47" spans="1:4" ht="18" customHeight="1" x14ac:dyDescent="0.2">
      <c r="D47" s="300"/>
    </row>
    <row r="48" spans="1:4" ht="18" customHeight="1" x14ac:dyDescent="0.2">
      <c r="D48" s="300"/>
    </row>
    <row r="49" spans="1:4" ht="18" customHeight="1" x14ac:dyDescent="0.2">
      <c r="D49" s="300"/>
    </row>
    <row r="50" spans="1:4" ht="18" customHeight="1" x14ac:dyDescent="0.2">
      <c r="D50" s="300"/>
    </row>
    <row r="51" spans="1:4" ht="18" customHeight="1" x14ac:dyDescent="0.2">
      <c r="D51" s="300"/>
    </row>
    <row r="52" spans="1:4" ht="18" customHeight="1" x14ac:dyDescent="0.2">
      <c r="D52" s="300"/>
    </row>
    <row r="53" spans="1:4" ht="18" customHeight="1" x14ac:dyDescent="0.2">
      <c r="D53" s="300"/>
    </row>
    <row r="54" spans="1:4" s="697" customFormat="1" ht="18" customHeight="1" x14ac:dyDescent="0.2">
      <c r="A54" s="300"/>
    </row>
    <row r="55" spans="1:4" s="697" customFormat="1" ht="18" customHeight="1" x14ac:dyDescent="0.2">
      <c r="A55" s="300"/>
    </row>
    <row r="56" spans="1:4" s="697" customFormat="1" ht="18" customHeight="1" x14ac:dyDescent="0.2">
      <c r="A56" s="300"/>
    </row>
    <row r="57" spans="1:4" x14ac:dyDescent="0.2">
      <c r="D57" s="300"/>
    </row>
  </sheetData>
  <sheetProtection password="C4B9"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FF00"/>
  </sheetPr>
  <dimension ref="A2:A199"/>
  <sheetViews>
    <sheetView workbookViewId="0">
      <selection activeCell="K19" sqref="K19"/>
    </sheetView>
  </sheetViews>
  <sheetFormatPr defaultColWidth="9.33203125" defaultRowHeight="12.75" x14ac:dyDescent="0.2"/>
  <cols>
    <col min="1" max="16384" width="9.33203125" style="604"/>
  </cols>
  <sheetData>
    <row r="2" s="605" customFormat="1" x14ac:dyDescent="0.2"/>
    <row r="3" s="605" customFormat="1" x14ac:dyDescent="0.2"/>
    <row r="4" s="605" customFormat="1" x14ac:dyDescent="0.2"/>
    <row r="5" s="605" customFormat="1" x14ac:dyDescent="0.2"/>
    <row r="6" s="605" customFormat="1" x14ac:dyDescent="0.2"/>
    <row r="7" s="605" customFormat="1" x14ac:dyDescent="0.2"/>
    <row r="8" s="605" customFormat="1" x14ac:dyDescent="0.2"/>
    <row r="9" s="605" customFormat="1" x14ac:dyDescent="0.2"/>
    <row r="10" s="605" customFormat="1" x14ac:dyDescent="0.2"/>
    <row r="11" s="605" customFormat="1" x14ac:dyDescent="0.2"/>
    <row r="12" s="605" customFormat="1" x14ac:dyDescent="0.2"/>
    <row r="13" s="605" customFormat="1" x14ac:dyDescent="0.2"/>
    <row r="14" s="605" customFormat="1" x14ac:dyDescent="0.2"/>
    <row r="15" s="605" customFormat="1" x14ac:dyDescent="0.2"/>
    <row r="16" s="605" customFormat="1" x14ac:dyDescent="0.2"/>
    <row r="17" s="605" customFormat="1" x14ac:dyDescent="0.2"/>
    <row r="18" s="605" customFormat="1" x14ac:dyDescent="0.2"/>
    <row r="19" s="605" customFormat="1" x14ac:dyDescent="0.2"/>
    <row r="20" s="605" customFormat="1" x14ac:dyDescent="0.2"/>
    <row r="21" s="605" customFormat="1" x14ac:dyDescent="0.2"/>
    <row r="22" s="605" customFormat="1" x14ac:dyDescent="0.2"/>
    <row r="23" s="605" customFormat="1" x14ac:dyDescent="0.2"/>
    <row r="24" s="605" customFormat="1" x14ac:dyDescent="0.2"/>
    <row r="25" s="605" customFormat="1" x14ac:dyDescent="0.2"/>
    <row r="26" s="605" customFormat="1" x14ac:dyDescent="0.2"/>
    <row r="27" s="605" customFormat="1" x14ac:dyDescent="0.2"/>
    <row r="28" s="605" customFormat="1" x14ac:dyDescent="0.2"/>
    <row r="29" s="605" customFormat="1" x14ac:dyDescent="0.2"/>
    <row r="30" s="605" customFormat="1" x14ac:dyDescent="0.2"/>
    <row r="31" s="605" customFormat="1" x14ac:dyDescent="0.2"/>
    <row r="32" s="605" customFormat="1" x14ac:dyDescent="0.2"/>
    <row r="33" s="605" customFormat="1" x14ac:dyDescent="0.2"/>
    <row r="34" s="605" customFormat="1" x14ac:dyDescent="0.2"/>
    <row r="35" s="605" customFormat="1" x14ac:dyDescent="0.2"/>
    <row r="36" s="605" customFormat="1" x14ac:dyDescent="0.2"/>
    <row r="37" s="605" customFormat="1" x14ac:dyDescent="0.2"/>
    <row r="38" s="605" customFormat="1" x14ac:dyDescent="0.2"/>
    <row r="39" s="605" customFormat="1" x14ac:dyDescent="0.2"/>
    <row r="40" s="605" customFormat="1" x14ac:dyDescent="0.2"/>
    <row r="41" s="605" customFormat="1" x14ac:dyDescent="0.2"/>
    <row r="42" s="605" customFormat="1" x14ac:dyDescent="0.2"/>
    <row r="43" s="605" customFormat="1" x14ac:dyDescent="0.2"/>
    <row r="44" s="605" customFormat="1" x14ac:dyDescent="0.2"/>
    <row r="45" s="605" customFormat="1" x14ac:dyDescent="0.2"/>
    <row r="46" s="605" customFormat="1" x14ac:dyDescent="0.2"/>
    <row r="47" s="605" customFormat="1" x14ac:dyDescent="0.2"/>
    <row r="48" s="605" customFormat="1" x14ac:dyDescent="0.2"/>
    <row r="49" s="605" customFormat="1" x14ac:dyDescent="0.2"/>
    <row r="50" s="605" customFormat="1" x14ac:dyDescent="0.2"/>
    <row r="51" s="605" customFormat="1" x14ac:dyDescent="0.2"/>
    <row r="52" s="605" customFormat="1" x14ac:dyDescent="0.2"/>
    <row r="53" s="605" customFormat="1" x14ac:dyDescent="0.2"/>
    <row r="54" s="605" customFormat="1" x14ac:dyDescent="0.2"/>
    <row r="55" s="605" customFormat="1" x14ac:dyDescent="0.2"/>
    <row r="56" s="605" customFormat="1" x14ac:dyDescent="0.2"/>
    <row r="57" s="605" customFormat="1" x14ac:dyDescent="0.2"/>
    <row r="58" s="605" customFormat="1" x14ac:dyDescent="0.2"/>
    <row r="59" s="605" customFormat="1" x14ac:dyDescent="0.2"/>
    <row r="60" s="605" customFormat="1" x14ac:dyDescent="0.2"/>
    <row r="61" s="605" customFormat="1" x14ac:dyDescent="0.2"/>
    <row r="62" s="605" customFormat="1" x14ac:dyDescent="0.2"/>
    <row r="63" s="605" customFormat="1" x14ac:dyDescent="0.2"/>
    <row r="64" s="605" customFormat="1" x14ac:dyDescent="0.2"/>
    <row r="65" s="605" customFormat="1" x14ac:dyDescent="0.2"/>
    <row r="66" s="605" customFormat="1" x14ac:dyDescent="0.2"/>
    <row r="67" s="605" customFormat="1" x14ac:dyDescent="0.2"/>
    <row r="68" s="605" customFormat="1" x14ac:dyDescent="0.2"/>
    <row r="69" s="605" customFormat="1" x14ac:dyDescent="0.2"/>
    <row r="70" s="605" customFormat="1" x14ac:dyDescent="0.2"/>
    <row r="71" s="605" customFormat="1" x14ac:dyDescent="0.2"/>
    <row r="72" s="605" customFormat="1" x14ac:dyDescent="0.2"/>
    <row r="73" s="605" customFormat="1" x14ac:dyDescent="0.2"/>
    <row r="74" s="605" customFormat="1" x14ac:dyDescent="0.2"/>
    <row r="75" s="605" customFormat="1" x14ac:dyDescent="0.2"/>
    <row r="76" s="605" customFormat="1" x14ac:dyDescent="0.2"/>
    <row r="77" s="605" customFormat="1" x14ac:dyDescent="0.2"/>
    <row r="78" s="605" customFormat="1" x14ac:dyDescent="0.2"/>
    <row r="79" s="605" customFormat="1" x14ac:dyDescent="0.2"/>
    <row r="80" s="605" customFormat="1" x14ac:dyDescent="0.2"/>
    <row r="81" s="605" customFormat="1" x14ac:dyDescent="0.2"/>
    <row r="82" s="605" customFormat="1" x14ac:dyDescent="0.2"/>
    <row r="83" s="605" customFormat="1" x14ac:dyDescent="0.2"/>
    <row r="84" s="605" customFormat="1" x14ac:dyDescent="0.2"/>
    <row r="85" s="605" customFormat="1" x14ac:dyDescent="0.2"/>
    <row r="86" s="605" customFormat="1" x14ac:dyDescent="0.2"/>
    <row r="87" s="605" customFormat="1" x14ac:dyDescent="0.2"/>
    <row r="88" s="605" customFormat="1" x14ac:dyDescent="0.2"/>
    <row r="89" s="605" customFormat="1" x14ac:dyDescent="0.2"/>
    <row r="90" s="605" customFormat="1" x14ac:dyDescent="0.2"/>
    <row r="91" s="605" customFormat="1" x14ac:dyDescent="0.2"/>
    <row r="92" s="605" customFormat="1" x14ac:dyDescent="0.2"/>
    <row r="93" s="605" customFormat="1" x14ac:dyDescent="0.2"/>
    <row r="94" s="605" customFormat="1" x14ac:dyDescent="0.2"/>
    <row r="95" s="605" customFormat="1" x14ac:dyDescent="0.2"/>
    <row r="96" s="605" customFormat="1" x14ac:dyDescent="0.2"/>
    <row r="97" s="605" customFormat="1" x14ac:dyDescent="0.2"/>
    <row r="98" s="605" customFormat="1" x14ac:dyDescent="0.2"/>
    <row r="99" s="605" customFormat="1" x14ac:dyDescent="0.2"/>
    <row r="100" s="605" customFormat="1" x14ac:dyDescent="0.2"/>
    <row r="101" s="605" customFormat="1" x14ac:dyDescent="0.2"/>
    <row r="102" s="605" customFormat="1" x14ac:dyDescent="0.2"/>
    <row r="103" s="605" customFormat="1" x14ac:dyDescent="0.2"/>
    <row r="104" s="605" customFormat="1" x14ac:dyDescent="0.2"/>
    <row r="105" s="605" customFormat="1" x14ac:dyDescent="0.2"/>
    <row r="106" s="605" customFormat="1" x14ac:dyDescent="0.2"/>
    <row r="107" s="605" customFormat="1" x14ac:dyDescent="0.2"/>
    <row r="108" s="605" customFormat="1" x14ac:dyDescent="0.2"/>
    <row r="109" s="605" customFormat="1" x14ac:dyDescent="0.2"/>
    <row r="110" s="605" customFormat="1" x14ac:dyDescent="0.2"/>
    <row r="111" s="605" customFormat="1" x14ac:dyDescent="0.2"/>
    <row r="112" s="605" customFormat="1" x14ac:dyDescent="0.2"/>
    <row r="113" s="605" customFormat="1" x14ac:dyDescent="0.2"/>
    <row r="114" s="605" customFormat="1" x14ac:dyDescent="0.2"/>
    <row r="115" s="605" customFormat="1" x14ac:dyDescent="0.2"/>
    <row r="116" s="605" customFormat="1" x14ac:dyDescent="0.2"/>
    <row r="117" s="605" customFormat="1" x14ac:dyDescent="0.2"/>
    <row r="118" s="605" customFormat="1" x14ac:dyDescent="0.2"/>
    <row r="119" s="605" customFormat="1" ht="15" customHeight="1" x14ac:dyDescent="0.2"/>
    <row r="120" s="605" customFormat="1" x14ac:dyDescent="0.2"/>
    <row r="121" s="605" customFormat="1" x14ac:dyDescent="0.2"/>
    <row r="122" s="605" customFormat="1" x14ac:dyDescent="0.2"/>
    <row r="123" s="605" customFormat="1" x14ac:dyDescent="0.2"/>
    <row r="124" s="605" customFormat="1" x14ac:dyDescent="0.2"/>
    <row r="125" s="605" customFormat="1" x14ac:dyDescent="0.2"/>
    <row r="126" s="605" customFormat="1" x14ac:dyDescent="0.2"/>
    <row r="127" s="605" customFormat="1" x14ac:dyDescent="0.2"/>
    <row r="128" s="605" customFormat="1" x14ac:dyDescent="0.2"/>
    <row r="129" s="605" customFormat="1" x14ac:dyDescent="0.2"/>
    <row r="130" s="605" customFormat="1" x14ac:dyDescent="0.2"/>
    <row r="131" s="605" customFormat="1" x14ac:dyDescent="0.2"/>
    <row r="132" s="605" customFormat="1" x14ac:dyDescent="0.2"/>
    <row r="133" s="605" customFormat="1" x14ac:dyDescent="0.2"/>
    <row r="134" s="605" customFormat="1" x14ac:dyDescent="0.2"/>
    <row r="135" s="605" customFormat="1" x14ac:dyDescent="0.2"/>
    <row r="136" s="605" customFormat="1" x14ac:dyDescent="0.2"/>
    <row r="137" s="605" customFormat="1" x14ac:dyDescent="0.2"/>
    <row r="138" s="605" customFormat="1" x14ac:dyDescent="0.2"/>
    <row r="139" s="605" customFormat="1" x14ac:dyDescent="0.2"/>
    <row r="140" s="605" customFormat="1" x14ac:dyDescent="0.2"/>
    <row r="141" s="605" customFormat="1" x14ac:dyDescent="0.2"/>
    <row r="142" s="605" customFormat="1" x14ac:dyDescent="0.2"/>
    <row r="143" s="605" customFormat="1" x14ac:dyDescent="0.2"/>
    <row r="144" s="605" customFormat="1" x14ac:dyDescent="0.2"/>
    <row r="145" s="605" customFormat="1" x14ac:dyDescent="0.2"/>
    <row r="146" s="605" customFormat="1" x14ac:dyDescent="0.2"/>
    <row r="147" s="605" customFormat="1" x14ac:dyDescent="0.2"/>
    <row r="148" s="605" customFormat="1" x14ac:dyDescent="0.2"/>
    <row r="149" s="605" customFormat="1" x14ac:dyDescent="0.2"/>
    <row r="150" s="605" customFormat="1" x14ac:dyDescent="0.2"/>
    <row r="151" s="605" customFormat="1" x14ac:dyDescent="0.2"/>
    <row r="152" s="605" customFormat="1" x14ac:dyDescent="0.2"/>
    <row r="153" s="605" customFormat="1" x14ac:dyDescent="0.2"/>
    <row r="154" s="605" customFormat="1" x14ac:dyDescent="0.2"/>
    <row r="155" s="605" customFormat="1" x14ac:dyDescent="0.2"/>
    <row r="156" s="605" customFormat="1" x14ac:dyDescent="0.2"/>
    <row r="157" s="605" customFormat="1" x14ac:dyDescent="0.2"/>
    <row r="158" s="605" customFormat="1" x14ac:dyDescent="0.2"/>
    <row r="159" s="605" customFormat="1" x14ac:dyDescent="0.2"/>
    <row r="160" s="605" customFormat="1" x14ac:dyDescent="0.2"/>
    <row r="161" s="605" customFormat="1" x14ac:dyDescent="0.2"/>
    <row r="162" s="605" customFormat="1" x14ac:dyDescent="0.2"/>
    <row r="163" s="605" customFormat="1" x14ac:dyDescent="0.2"/>
    <row r="164" s="605" customFormat="1" x14ac:dyDescent="0.2"/>
    <row r="165" s="605" customFormat="1" x14ac:dyDescent="0.2"/>
    <row r="166" s="605" customFormat="1" x14ac:dyDescent="0.2"/>
    <row r="167" s="605" customFormat="1" x14ac:dyDescent="0.2"/>
    <row r="168" s="605" customFormat="1" x14ac:dyDescent="0.2"/>
    <row r="169" s="605" customFormat="1" x14ac:dyDescent="0.2"/>
    <row r="170" s="605" customFormat="1" x14ac:dyDescent="0.2"/>
    <row r="171" s="605" customFormat="1" x14ac:dyDescent="0.2"/>
    <row r="172" s="605" customFormat="1" x14ac:dyDescent="0.2"/>
    <row r="173" s="605" customFormat="1" x14ac:dyDescent="0.2"/>
    <row r="174" s="605" customFormat="1" x14ac:dyDescent="0.2"/>
    <row r="175" s="605" customFormat="1" x14ac:dyDescent="0.2"/>
    <row r="176" s="605" customFormat="1" x14ac:dyDescent="0.2"/>
    <row r="177" s="605" customFormat="1" x14ac:dyDescent="0.2"/>
    <row r="178" s="605" customFormat="1" x14ac:dyDescent="0.2"/>
    <row r="179" s="605" customFormat="1" x14ac:dyDescent="0.2"/>
    <row r="180" s="605" customFormat="1" x14ac:dyDescent="0.2"/>
    <row r="181" s="605" customFormat="1" x14ac:dyDescent="0.2"/>
    <row r="182" s="605" customFormat="1" x14ac:dyDescent="0.2"/>
    <row r="183" s="605" customFormat="1" x14ac:dyDescent="0.2"/>
    <row r="184" s="605" customFormat="1" x14ac:dyDescent="0.2"/>
    <row r="185" s="605" customFormat="1" x14ac:dyDescent="0.2"/>
    <row r="186" s="605" customFormat="1" x14ac:dyDescent="0.2"/>
    <row r="187" s="605" customFormat="1" x14ac:dyDescent="0.2"/>
    <row r="188" s="605" customFormat="1" x14ac:dyDescent="0.2"/>
    <row r="189" s="605" customFormat="1" x14ac:dyDescent="0.2"/>
    <row r="190" s="605" customFormat="1" x14ac:dyDescent="0.2"/>
    <row r="191" s="605" customFormat="1" x14ac:dyDescent="0.2"/>
    <row r="192" s="605" customFormat="1" x14ac:dyDescent="0.2"/>
    <row r="193" s="605" customFormat="1" x14ac:dyDescent="0.2"/>
    <row r="194" s="605" customFormat="1" x14ac:dyDescent="0.2"/>
    <row r="195" s="605" customFormat="1" x14ac:dyDescent="0.2"/>
    <row r="196" s="605" customFormat="1" x14ac:dyDescent="0.2"/>
    <row r="197" s="605" customFormat="1" x14ac:dyDescent="0.2"/>
    <row r="198" s="605" customFormat="1" x14ac:dyDescent="0.2"/>
    <row r="199" s="605" customFormat="1"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sheetPr>
  <dimension ref="A1:H30"/>
  <sheetViews>
    <sheetView zoomScaleNormal="100" workbookViewId="0">
      <selection activeCell="I13" sqref="I13"/>
    </sheetView>
  </sheetViews>
  <sheetFormatPr defaultColWidth="9.33203125" defaultRowHeight="15.75" x14ac:dyDescent="0.2"/>
  <cols>
    <col min="1" max="1" width="41.5" style="307" bestFit="1" customWidth="1"/>
    <col min="2" max="2" width="19.6640625" style="308" customWidth="1"/>
    <col min="3" max="3" width="18.1640625" style="308" customWidth="1"/>
    <col min="4" max="4" width="14.1640625" style="308" customWidth="1"/>
    <col min="5" max="5" width="12" style="308" customWidth="1"/>
    <col min="6" max="6" width="12.33203125" style="308" customWidth="1"/>
    <col min="7" max="7" width="13" style="308" customWidth="1"/>
    <col min="8" max="16384" width="9.33203125" style="307"/>
  </cols>
  <sheetData>
    <row r="1" spans="1:3" s="1805" customFormat="1" ht="33" customHeight="1" thickBot="1" x14ac:dyDescent="0.25">
      <c r="A1" s="1807" t="s">
        <v>2231</v>
      </c>
      <c r="B1" s="1807" t="s">
        <v>2565</v>
      </c>
      <c r="C1" s="1808" t="s">
        <v>2551</v>
      </c>
    </row>
    <row r="2" spans="1:3" s="308" customFormat="1" x14ac:dyDescent="0.2">
      <c r="A2" s="1809" t="s">
        <v>2461</v>
      </c>
      <c r="B2" s="1809">
        <v>1.9813416033680555</v>
      </c>
      <c r="C2" s="1812">
        <v>7.1760208595833328</v>
      </c>
    </row>
    <row r="3" spans="1:3" s="308" customFormat="1" x14ac:dyDescent="0.2">
      <c r="A3" s="1728" t="s">
        <v>266</v>
      </c>
      <c r="B3" s="1728">
        <v>0</v>
      </c>
      <c r="C3" s="1813">
        <v>6.6844000560000003</v>
      </c>
    </row>
    <row r="4" spans="1:3" s="308" customFormat="1" x14ac:dyDescent="0.2">
      <c r="A4" s="1728" t="s">
        <v>2459</v>
      </c>
      <c r="B4" s="1728">
        <v>0</v>
      </c>
      <c r="C4" s="1813">
        <v>6.5503340303703705</v>
      </c>
    </row>
    <row r="5" spans="1:3" s="308" customFormat="1" x14ac:dyDescent="0.2">
      <c r="A5" s="1728" t="s">
        <v>2460</v>
      </c>
      <c r="B5" s="1728">
        <v>2.2714224689772728</v>
      </c>
      <c r="C5" s="1813">
        <v>10</v>
      </c>
    </row>
    <row r="6" spans="1:3" s="308" customFormat="1" x14ac:dyDescent="0.2">
      <c r="A6" s="1728" t="s">
        <v>262</v>
      </c>
      <c r="B6" s="1728">
        <v>3.3870600922633742</v>
      </c>
      <c r="C6" s="1813">
        <v>10</v>
      </c>
    </row>
    <row r="7" spans="1:3" s="308" customFormat="1" x14ac:dyDescent="0.2">
      <c r="A7" s="1728" t="s">
        <v>51</v>
      </c>
      <c r="B7" s="1728">
        <v>4.0423835148761906</v>
      </c>
      <c r="C7" s="1813">
        <v>10</v>
      </c>
    </row>
    <row r="8" spans="1:3" s="308" customFormat="1" x14ac:dyDescent="0.2">
      <c r="A8" s="1728" t="s">
        <v>235</v>
      </c>
      <c r="B8" s="1728">
        <v>0</v>
      </c>
      <c r="C8" s="1813">
        <v>6.6638714183333327</v>
      </c>
    </row>
    <row r="9" spans="1:3" s="308" customFormat="1" x14ac:dyDescent="0.2">
      <c r="A9" s="1728" t="s">
        <v>705</v>
      </c>
      <c r="B9" s="1728">
        <v>0</v>
      </c>
      <c r="C9" s="1813">
        <v>8.3511183682071426</v>
      </c>
    </row>
    <row r="10" spans="1:3" s="308" customFormat="1" x14ac:dyDescent="0.2">
      <c r="A10" s="1728" t="s">
        <v>13</v>
      </c>
      <c r="B10" s="1728">
        <v>2.8985517307083333</v>
      </c>
      <c r="C10" s="1813">
        <v>8.448211445004409</v>
      </c>
    </row>
    <row r="11" spans="1:3" s="308" customFormat="1" x14ac:dyDescent="0.2">
      <c r="A11" s="1728" t="s">
        <v>65</v>
      </c>
      <c r="B11" s="1728">
        <v>3.1291746287615747</v>
      </c>
      <c r="C11" s="1813">
        <v>6.3741716757255293</v>
      </c>
    </row>
    <row r="12" spans="1:3" s="308" customFormat="1" x14ac:dyDescent="0.2">
      <c r="A12" s="1728" t="s">
        <v>623</v>
      </c>
      <c r="B12" s="1728">
        <v>2.581081400704762</v>
      </c>
      <c r="C12" s="1813">
        <v>10</v>
      </c>
    </row>
    <row r="13" spans="1:3" s="308" customFormat="1" x14ac:dyDescent="0.2">
      <c r="A13" s="1728" t="s">
        <v>157</v>
      </c>
      <c r="B13" s="1728">
        <v>2.9430001268888892</v>
      </c>
      <c r="C13" s="1813">
        <v>10</v>
      </c>
    </row>
    <row r="14" spans="1:3" s="308" customFormat="1" x14ac:dyDescent="0.2">
      <c r="A14" s="1728" t="s">
        <v>1249</v>
      </c>
      <c r="B14" s="1728">
        <v>3.6387458219938273</v>
      </c>
      <c r="C14" s="1813">
        <v>6.8308071855709871</v>
      </c>
    </row>
    <row r="15" spans="1:3" s="308" customFormat="1" x14ac:dyDescent="0.2">
      <c r="A15" s="1728" t="s">
        <v>1958</v>
      </c>
      <c r="B15" s="1728">
        <v>0</v>
      </c>
      <c r="C15" s="1813">
        <v>10</v>
      </c>
    </row>
    <row r="16" spans="1:3" ht="16.5" thickBot="1" x14ac:dyDescent="0.25">
      <c r="A16" s="1814" t="s">
        <v>654</v>
      </c>
      <c r="B16" s="1814">
        <v>1.75</v>
      </c>
      <c r="C16" s="1815">
        <v>4.4286761170000002</v>
      </c>
    </row>
    <row r="17" spans="1:8" ht="16.5" thickBot="1" x14ac:dyDescent="0.25"/>
    <row r="18" spans="1:8" s="1805" customFormat="1" ht="39" thickBot="1" x14ac:dyDescent="0.25">
      <c r="A18" s="1807" t="s">
        <v>2553</v>
      </c>
      <c r="B18" s="1808" t="s">
        <v>2564</v>
      </c>
      <c r="C18" s="1806"/>
      <c r="D18" s="1806"/>
      <c r="E18" s="1806"/>
      <c r="F18" s="1806"/>
      <c r="G18" s="1806"/>
      <c r="H18" s="1806"/>
    </row>
    <row r="19" spans="1:8" x14ac:dyDescent="0.2">
      <c r="A19" s="1816" t="s">
        <v>2554</v>
      </c>
      <c r="B19" s="1817">
        <v>0.57895713722437903</v>
      </c>
    </row>
    <row r="20" spans="1:8" x14ac:dyDescent="0.2">
      <c r="A20" s="1818">
        <v>40</v>
      </c>
      <c r="B20" s="1819">
        <v>0.7718977792154792</v>
      </c>
    </row>
    <row r="21" spans="1:8" x14ac:dyDescent="0.2">
      <c r="A21" s="1818">
        <v>70</v>
      </c>
      <c r="B21" s="1819">
        <v>0.86593931583348693</v>
      </c>
    </row>
    <row r="22" spans="1:8" x14ac:dyDescent="0.2">
      <c r="A22" s="1818">
        <v>90</v>
      </c>
      <c r="B22" s="1819">
        <v>0.9331799649983552</v>
      </c>
    </row>
    <row r="23" spans="1:8" ht="16.5" thickBot="1" x14ac:dyDescent="0.25">
      <c r="A23" s="1820" t="s">
        <v>2555</v>
      </c>
      <c r="B23" s="1821">
        <v>0.94981153380080507</v>
      </c>
    </row>
    <row r="24" spans="1:8" x14ac:dyDescent="0.2">
      <c r="A24" s="1804" t="s">
        <v>2552</v>
      </c>
    </row>
    <row r="25" spans="1:8" ht="16.5" thickBot="1" x14ac:dyDescent="0.25"/>
    <row r="26" spans="1:8" ht="16.5" thickBot="1" x14ac:dyDescent="0.25">
      <c r="A26" s="1810" t="s">
        <v>2562</v>
      </c>
      <c r="B26" s="1811" t="s">
        <v>2546</v>
      </c>
    </row>
    <row r="27" spans="1:8" x14ac:dyDescent="0.2">
      <c r="A27" s="1809" t="s">
        <v>2549</v>
      </c>
      <c r="B27" s="1817" t="s">
        <v>2558</v>
      </c>
    </row>
    <row r="28" spans="1:8" x14ac:dyDescent="0.2">
      <c r="A28" s="1728" t="s">
        <v>2547</v>
      </c>
      <c r="B28" s="1819" t="s">
        <v>2559</v>
      </c>
    </row>
    <row r="29" spans="1:8" x14ac:dyDescent="0.2">
      <c r="A29" s="1728" t="s">
        <v>2548</v>
      </c>
      <c r="B29" s="1819" t="s">
        <v>2560</v>
      </c>
    </row>
    <row r="30" spans="1:8" ht="16.5" thickBot="1" x14ac:dyDescent="0.25">
      <c r="A30" s="1814" t="s">
        <v>2550</v>
      </c>
      <c r="B30" s="1821" t="s">
        <v>2561</v>
      </c>
    </row>
  </sheetData>
  <sheetProtection password="C4B9"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sheetPr>
  <dimension ref="A1:A56"/>
  <sheetViews>
    <sheetView topLeftCell="A19" workbookViewId="0">
      <selection activeCell="A47" sqref="A47"/>
    </sheetView>
  </sheetViews>
  <sheetFormatPr defaultRowHeight="12.75" x14ac:dyDescent="0.2"/>
  <cols>
    <col min="1" max="1" width="62.5" bestFit="1" customWidth="1"/>
    <col min="2" max="97" width="6.6640625" bestFit="1" customWidth="1"/>
    <col min="98" max="161" width="7.1640625" bestFit="1" customWidth="1"/>
    <col min="162" max="162" width="9" bestFit="1" customWidth="1"/>
    <col min="163" max="165" width="8" bestFit="1" customWidth="1"/>
    <col min="166" max="166" width="11.1640625" bestFit="1" customWidth="1"/>
    <col min="167" max="168" width="7.6640625" bestFit="1" customWidth="1"/>
    <col min="169" max="169" width="8.6640625" bestFit="1" customWidth="1"/>
    <col min="170" max="172" width="7.6640625" bestFit="1" customWidth="1"/>
    <col min="173" max="175" width="6.6640625" bestFit="1" customWidth="1"/>
    <col min="176" max="176" width="6.5" bestFit="1" customWidth="1"/>
    <col min="177" max="177" width="7" bestFit="1" customWidth="1"/>
    <col min="178" max="178" width="6.6640625" bestFit="1" customWidth="1"/>
    <col min="179" max="179" width="6.83203125" bestFit="1" customWidth="1"/>
    <col min="180" max="180" width="7.83203125" bestFit="1" customWidth="1"/>
    <col min="181" max="181" width="6.5" bestFit="1" customWidth="1"/>
    <col min="182" max="182" width="7.5" bestFit="1" customWidth="1"/>
    <col min="183" max="183" width="7" bestFit="1" customWidth="1"/>
    <col min="184" max="185" width="7.33203125" bestFit="1" customWidth="1"/>
    <col min="186" max="186" width="10.33203125" bestFit="1" customWidth="1"/>
    <col min="187" max="187" width="9.83203125" bestFit="1" customWidth="1"/>
    <col min="188" max="188" width="10.33203125" bestFit="1" customWidth="1"/>
    <col min="189" max="193" width="11.1640625" bestFit="1" customWidth="1"/>
    <col min="194" max="194" width="6.5" bestFit="1" customWidth="1"/>
    <col min="195" max="195" width="9.33203125" bestFit="1" customWidth="1"/>
    <col min="196" max="196" width="10.33203125" bestFit="1" customWidth="1"/>
    <col min="197" max="197" width="8.6640625" bestFit="1" customWidth="1"/>
    <col min="198" max="198" width="8.1640625" bestFit="1" customWidth="1"/>
    <col min="199" max="199" width="7.83203125" bestFit="1" customWidth="1"/>
    <col min="200" max="200" width="9.5" bestFit="1" customWidth="1"/>
    <col min="201" max="201" width="6.83203125" bestFit="1" customWidth="1"/>
    <col min="202" max="202" width="7.83203125" bestFit="1" customWidth="1"/>
    <col min="203" max="203" width="6.83203125" bestFit="1" customWidth="1"/>
    <col min="204" max="204" width="7.83203125" bestFit="1" customWidth="1"/>
    <col min="205" max="205" width="6.83203125" bestFit="1" customWidth="1"/>
  </cols>
  <sheetData>
    <row r="1" spans="1:1" x14ac:dyDescent="0.2">
      <c r="A1" s="1209" t="s">
        <v>2493</v>
      </c>
    </row>
    <row r="2" spans="1:1" s="300" customFormat="1" x14ac:dyDescent="0.2">
      <c r="A2" s="1210" t="s">
        <v>2461</v>
      </c>
    </row>
    <row r="3" spans="1:1" s="300" customFormat="1" x14ac:dyDescent="0.2">
      <c r="A3" s="1210" t="s">
        <v>266</v>
      </c>
    </row>
    <row r="4" spans="1:1" s="300" customFormat="1" x14ac:dyDescent="0.2">
      <c r="A4" s="1210" t="s">
        <v>2459</v>
      </c>
    </row>
    <row r="5" spans="1:1" s="300" customFormat="1" x14ac:dyDescent="0.2">
      <c r="A5" s="1210" t="s">
        <v>2460</v>
      </c>
    </row>
    <row r="6" spans="1:1" s="300" customFormat="1" x14ac:dyDescent="0.2">
      <c r="A6" s="1210" t="s">
        <v>262</v>
      </c>
    </row>
    <row r="7" spans="1:1" s="300" customFormat="1" x14ac:dyDescent="0.2">
      <c r="A7" s="1210" t="s">
        <v>51</v>
      </c>
    </row>
    <row r="8" spans="1:1" s="300" customFormat="1" x14ac:dyDescent="0.2">
      <c r="A8" s="1210" t="s">
        <v>235</v>
      </c>
    </row>
    <row r="9" spans="1:1" s="300" customFormat="1" x14ac:dyDescent="0.2">
      <c r="A9" s="1210" t="s">
        <v>705</v>
      </c>
    </row>
    <row r="10" spans="1:1" s="300" customFormat="1" x14ac:dyDescent="0.2">
      <c r="A10" s="1210" t="s">
        <v>13</v>
      </c>
    </row>
    <row r="11" spans="1:1" s="300" customFormat="1" x14ac:dyDescent="0.2">
      <c r="A11" s="1210" t="s">
        <v>65</v>
      </c>
    </row>
    <row r="12" spans="1:1" s="300" customFormat="1" x14ac:dyDescent="0.2">
      <c r="A12" s="1210" t="s">
        <v>623</v>
      </c>
    </row>
    <row r="13" spans="1:1" s="300" customFormat="1" x14ac:dyDescent="0.2">
      <c r="A13" s="1210" t="s">
        <v>157</v>
      </c>
    </row>
    <row r="14" spans="1:1" s="300" customFormat="1" x14ac:dyDescent="0.2">
      <c r="A14" s="1210" t="s">
        <v>1249</v>
      </c>
    </row>
    <row r="15" spans="1:1" s="300" customFormat="1" x14ac:dyDescent="0.2">
      <c r="A15" s="1210" t="s">
        <v>1958</v>
      </c>
    </row>
    <row r="16" spans="1:1" x14ac:dyDescent="0.2">
      <c r="A16" s="1210" t="s">
        <v>654</v>
      </c>
    </row>
    <row r="17" spans="1:1" x14ac:dyDescent="0.2">
      <c r="A17" s="1211"/>
    </row>
    <row r="18" spans="1:1" x14ac:dyDescent="0.2">
      <c r="A18" s="1211"/>
    </row>
    <row r="19" spans="1:1" s="300" customFormat="1" x14ac:dyDescent="0.2">
      <c r="A19" s="1212" t="s">
        <v>2494</v>
      </c>
    </row>
    <row r="20" spans="1:1" s="300" customFormat="1" x14ac:dyDescent="0.2">
      <c r="A20" s="1213" t="s">
        <v>2461</v>
      </c>
    </row>
    <row r="21" spans="1:1" s="300" customFormat="1" x14ac:dyDescent="0.2">
      <c r="A21" s="1213" t="s">
        <v>266</v>
      </c>
    </row>
    <row r="22" spans="1:1" s="300" customFormat="1" x14ac:dyDescent="0.2">
      <c r="A22" s="1213" t="s">
        <v>2459</v>
      </c>
    </row>
    <row r="23" spans="1:1" s="300" customFormat="1" x14ac:dyDescent="0.2">
      <c r="A23" s="1213" t="s">
        <v>2460</v>
      </c>
    </row>
    <row r="24" spans="1:1" s="300" customFormat="1" x14ac:dyDescent="0.2">
      <c r="A24" s="1213" t="s">
        <v>262</v>
      </c>
    </row>
    <row r="25" spans="1:1" s="300" customFormat="1" x14ac:dyDescent="0.2">
      <c r="A25" s="1213" t="s">
        <v>51</v>
      </c>
    </row>
    <row r="26" spans="1:1" s="300" customFormat="1" x14ac:dyDescent="0.2">
      <c r="A26" s="1213" t="s">
        <v>235</v>
      </c>
    </row>
    <row r="27" spans="1:1" s="300" customFormat="1" x14ac:dyDescent="0.2">
      <c r="A27" s="1213" t="s">
        <v>705</v>
      </c>
    </row>
    <row r="28" spans="1:1" s="300" customFormat="1" x14ac:dyDescent="0.2">
      <c r="A28" s="1213" t="s">
        <v>13</v>
      </c>
    </row>
    <row r="29" spans="1:1" s="300" customFormat="1" x14ac:dyDescent="0.2">
      <c r="A29" s="1213" t="s">
        <v>65</v>
      </c>
    </row>
    <row r="30" spans="1:1" s="300" customFormat="1" x14ac:dyDescent="0.2">
      <c r="A30" s="1213" t="s">
        <v>623</v>
      </c>
    </row>
    <row r="31" spans="1:1" s="300" customFormat="1" x14ac:dyDescent="0.2">
      <c r="A31" s="1213" t="s">
        <v>157</v>
      </c>
    </row>
    <row r="32" spans="1:1" s="300" customFormat="1" x14ac:dyDescent="0.2">
      <c r="A32" s="1213" t="s">
        <v>1249</v>
      </c>
    </row>
    <row r="33" spans="1:1" x14ac:dyDescent="0.2">
      <c r="A33" s="1210" t="s">
        <v>1958</v>
      </c>
    </row>
    <row r="34" spans="1:1" x14ac:dyDescent="0.2">
      <c r="A34" s="1213" t="s">
        <v>654</v>
      </c>
    </row>
    <row r="35" spans="1:1" x14ac:dyDescent="0.2">
      <c r="A35" s="1214"/>
    </row>
    <row r="36" spans="1:1" x14ac:dyDescent="0.2">
      <c r="A36" s="1214"/>
    </row>
    <row r="37" spans="1:1" x14ac:dyDescent="0.2">
      <c r="A37" s="1215" t="s">
        <v>2495</v>
      </c>
    </row>
    <row r="38" spans="1:1" x14ac:dyDescent="0.2">
      <c r="A38" s="1216" t="s">
        <v>1317</v>
      </c>
    </row>
    <row r="39" spans="1:1" x14ac:dyDescent="0.2">
      <c r="A39" s="1216" t="s">
        <v>1267</v>
      </c>
    </row>
    <row r="40" spans="1:1" x14ac:dyDescent="0.2">
      <c r="A40" s="1216" t="s">
        <v>1268</v>
      </c>
    </row>
    <row r="41" spans="1:1" x14ac:dyDescent="0.2">
      <c r="A41" s="1216" t="s">
        <v>1269</v>
      </c>
    </row>
    <row r="42" spans="1:1" x14ac:dyDescent="0.2">
      <c r="A42" s="1216" t="s">
        <v>1318</v>
      </c>
    </row>
    <row r="43" spans="1:1" x14ac:dyDescent="0.2">
      <c r="A43" s="1216" t="s">
        <v>1264</v>
      </c>
    </row>
    <row r="44" spans="1:1" x14ac:dyDescent="0.2">
      <c r="A44" s="1216" t="s">
        <v>1265</v>
      </c>
    </row>
    <row r="45" spans="1:1" x14ac:dyDescent="0.2">
      <c r="A45" s="1216" t="s">
        <v>1266</v>
      </c>
    </row>
    <row r="46" spans="1:1" x14ac:dyDescent="0.2">
      <c r="A46" s="1216" t="s">
        <v>2256</v>
      </c>
    </row>
    <row r="47" spans="1:1" x14ac:dyDescent="0.2">
      <c r="A47" s="1217" t="s">
        <v>2496</v>
      </c>
    </row>
    <row r="48" spans="1:1" x14ac:dyDescent="0.2">
      <c r="A48" s="1218" t="s">
        <v>1317</v>
      </c>
    </row>
    <row r="49" spans="1:1" x14ac:dyDescent="0.2">
      <c r="A49" s="1218" t="s">
        <v>1267</v>
      </c>
    </row>
    <row r="50" spans="1:1" x14ac:dyDescent="0.2">
      <c r="A50" s="1218" t="s">
        <v>1268</v>
      </c>
    </row>
    <row r="51" spans="1:1" x14ac:dyDescent="0.2">
      <c r="A51" s="1218" t="s">
        <v>1269</v>
      </c>
    </row>
    <row r="52" spans="1:1" x14ac:dyDescent="0.2">
      <c r="A52" s="1218" t="s">
        <v>1318</v>
      </c>
    </row>
    <row r="53" spans="1:1" x14ac:dyDescent="0.2">
      <c r="A53" s="1218" t="s">
        <v>1264</v>
      </c>
    </row>
    <row r="54" spans="1:1" x14ac:dyDescent="0.2">
      <c r="A54" s="1219" t="s">
        <v>1265</v>
      </c>
    </row>
    <row r="55" spans="1:1" x14ac:dyDescent="0.2">
      <c r="A55" s="1219" t="s">
        <v>1266</v>
      </c>
    </row>
    <row r="56" spans="1:1" x14ac:dyDescent="0.2">
      <c r="A56" s="1219" t="s">
        <v>2458</v>
      </c>
    </row>
  </sheetData>
  <sortState columnSort="1" ref="B1:GW32">
    <sortCondition ref="B1:GW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F0"/>
  </sheetPr>
  <dimension ref="A1:GX110"/>
  <sheetViews>
    <sheetView workbookViewId="0">
      <selection activeCell="A40" sqref="A40"/>
    </sheetView>
  </sheetViews>
  <sheetFormatPr defaultRowHeight="12.75" x14ac:dyDescent="0.2"/>
  <cols>
    <col min="1" max="1" width="64" customWidth="1"/>
    <col min="2" max="2" width="9.1640625" customWidth="1"/>
    <col min="3" max="37" width="9.5" style="300" bestFit="1" customWidth="1"/>
    <col min="38" max="38" width="9.6640625" style="300" bestFit="1" customWidth="1"/>
    <col min="39" max="45" width="9.5" style="300" bestFit="1" customWidth="1"/>
    <col min="46" max="49" width="9.6640625" style="300" bestFit="1" customWidth="1"/>
    <col min="50" max="56" width="9.5" style="300" bestFit="1" customWidth="1"/>
    <col min="57" max="59" width="9.6640625" style="300" bestFit="1" customWidth="1"/>
    <col min="60" max="68" width="9.5" style="300" bestFit="1" customWidth="1"/>
    <col min="69" max="69" width="9.6640625" style="300" bestFit="1" customWidth="1"/>
    <col min="70" max="70" width="9.5" style="300" bestFit="1" customWidth="1"/>
    <col min="71" max="71" width="9.6640625" style="300" bestFit="1" customWidth="1"/>
    <col min="72" max="73" width="9.5" style="300" bestFit="1" customWidth="1"/>
    <col min="74" max="74" width="9.6640625" style="300" bestFit="1" customWidth="1"/>
    <col min="75" max="75" width="9.5" style="300" bestFit="1" customWidth="1"/>
    <col min="76" max="76" width="9.6640625" style="300" bestFit="1" customWidth="1"/>
    <col min="77" max="81" width="9.5" style="300" bestFit="1" customWidth="1"/>
    <col min="82" max="82" width="9.6640625" style="300" bestFit="1" customWidth="1"/>
    <col min="83" max="83" width="9.5" style="300" bestFit="1" customWidth="1"/>
    <col min="84" max="84" width="9.6640625" style="300" bestFit="1" customWidth="1"/>
    <col min="85" max="86" width="9.5" style="300" bestFit="1" customWidth="1"/>
    <col min="87" max="87" width="9.6640625" style="300" bestFit="1" customWidth="1"/>
    <col min="88" max="89" width="9.5" style="300" bestFit="1" customWidth="1"/>
    <col min="90" max="91" width="9.6640625" style="300" bestFit="1" customWidth="1"/>
    <col min="92" max="93" width="9.5" style="300" bestFit="1" customWidth="1"/>
    <col min="94" max="95" width="9.6640625" style="300" bestFit="1" customWidth="1"/>
    <col min="96" max="97" width="9.5" style="300" bestFit="1" customWidth="1"/>
    <col min="98" max="100" width="9.6640625" style="300" bestFit="1" customWidth="1"/>
    <col min="101" max="101" width="9.5" style="300" bestFit="1" customWidth="1"/>
    <col min="102" max="106" width="9.6640625" style="300" bestFit="1" customWidth="1"/>
    <col min="107" max="107" width="9.5" style="300" bestFit="1" customWidth="1"/>
    <col min="108" max="109" width="9.6640625" style="300" bestFit="1" customWidth="1"/>
    <col min="110" max="110" width="9.5" style="300" bestFit="1" customWidth="1"/>
    <col min="111" max="111" width="9.6640625" style="300" bestFit="1" customWidth="1"/>
    <col min="112" max="112" width="9.5" style="300" bestFit="1" customWidth="1"/>
    <col min="113" max="117" width="9.6640625" style="300" bestFit="1" customWidth="1"/>
    <col min="118" max="120" width="9.5" style="300" bestFit="1" customWidth="1"/>
    <col min="121" max="121" width="9.6640625" style="300" bestFit="1" customWidth="1"/>
    <col min="122" max="141" width="9.5" style="300" bestFit="1" customWidth="1"/>
    <col min="142" max="142" width="9.6640625" style="300" bestFit="1" customWidth="1"/>
    <col min="143" max="143" width="9.5" style="300" bestFit="1" customWidth="1"/>
    <col min="144" max="144" width="9.6640625" style="300" bestFit="1" customWidth="1"/>
    <col min="145" max="153" width="9.5" style="300" bestFit="1" customWidth="1"/>
    <col min="154" max="156" width="9.6640625" style="300" bestFit="1" customWidth="1"/>
    <col min="157" max="157" width="9.5" style="300" bestFit="1" customWidth="1"/>
    <col min="158" max="160" width="9.6640625" style="300" bestFit="1" customWidth="1"/>
    <col min="161" max="161" width="9.5" style="300" bestFit="1" customWidth="1"/>
    <col min="162" max="165" width="9.6640625" style="300" bestFit="1" customWidth="1"/>
    <col min="166" max="176" width="9.5" style="300" bestFit="1" customWidth="1"/>
    <col min="177" max="177" width="9.6640625" style="300" bestFit="1" customWidth="1"/>
    <col min="178" max="180" width="9.5" style="300" bestFit="1" customWidth="1"/>
    <col min="181" max="183" width="9.6640625" style="300" bestFit="1" customWidth="1"/>
    <col min="184" max="185" width="9.5" style="300" bestFit="1" customWidth="1"/>
    <col min="186" max="188" width="9.6640625" style="300" bestFit="1" customWidth="1"/>
    <col min="189" max="189" width="9.5" style="300" bestFit="1" customWidth="1"/>
    <col min="190" max="191" width="9.6640625" style="300" bestFit="1" customWidth="1"/>
    <col min="192" max="193" width="9.5" style="300" bestFit="1" customWidth="1"/>
    <col min="194" max="195" width="9.6640625" style="300" bestFit="1" customWidth="1"/>
    <col min="196" max="196" width="9.5" style="300" bestFit="1" customWidth="1"/>
    <col min="197" max="197" width="9.6640625" style="300" bestFit="1" customWidth="1"/>
    <col min="198" max="200" width="9.5" style="300" bestFit="1" customWidth="1"/>
    <col min="201" max="204" width="9.6640625" style="300" bestFit="1" customWidth="1"/>
    <col min="205" max="206" width="9.5" style="300" bestFit="1" customWidth="1"/>
  </cols>
  <sheetData>
    <row r="1" spans="1:206" s="302" customFormat="1" x14ac:dyDescent="0.2">
      <c r="A1" s="1209" t="s">
        <v>2497</v>
      </c>
    </row>
    <row r="2" spans="1:206" s="300" customFormat="1" x14ac:dyDescent="0.2">
      <c r="A2" s="1210" t="s">
        <v>2461</v>
      </c>
    </row>
    <row r="3" spans="1:206" s="300" customFormat="1" x14ac:dyDescent="0.2">
      <c r="A3" s="1210" t="s">
        <v>266</v>
      </c>
    </row>
    <row r="4" spans="1:206" s="300" customFormat="1" x14ac:dyDescent="0.2">
      <c r="A4" s="1210" t="s">
        <v>2459</v>
      </c>
    </row>
    <row r="5" spans="1:206" s="300" customFormat="1" x14ac:dyDescent="0.2">
      <c r="A5" s="1210" t="s">
        <v>2460</v>
      </c>
    </row>
    <row r="6" spans="1:206" s="300" customFormat="1" x14ac:dyDescent="0.2">
      <c r="A6" s="1210" t="s">
        <v>262</v>
      </c>
    </row>
    <row r="7" spans="1:206" s="300" customFormat="1" x14ac:dyDescent="0.2">
      <c r="A7" s="1210" t="s">
        <v>51</v>
      </c>
    </row>
    <row r="8" spans="1:206" s="300" customFormat="1" x14ac:dyDescent="0.2">
      <c r="A8" s="1210" t="s">
        <v>235</v>
      </c>
    </row>
    <row r="9" spans="1:206" s="300" customFormat="1" x14ac:dyDescent="0.2">
      <c r="A9" s="1210" t="s">
        <v>705</v>
      </c>
    </row>
    <row r="10" spans="1:206" s="300" customFormat="1" x14ac:dyDescent="0.2">
      <c r="A10" s="1210" t="s">
        <v>13</v>
      </c>
    </row>
    <row r="11" spans="1:206" s="300" customFormat="1" x14ac:dyDescent="0.2">
      <c r="A11" s="1210" t="s">
        <v>65</v>
      </c>
    </row>
    <row r="12" spans="1:206" s="300" customFormat="1" x14ac:dyDescent="0.2">
      <c r="A12" s="1210" t="s">
        <v>623</v>
      </c>
    </row>
    <row r="13" spans="1:206" s="300" customFormat="1" x14ac:dyDescent="0.2">
      <c r="A13" s="1210" t="s">
        <v>157</v>
      </c>
    </row>
    <row r="14" spans="1:206" s="300" customFormat="1" x14ac:dyDescent="0.2">
      <c r="A14" s="1210" t="s">
        <v>1249</v>
      </c>
    </row>
    <row r="15" spans="1:206" s="300" customFormat="1" x14ac:dyDescent="0.2">
      <c r="A15" s="1210" t="s">
        <v>1958</v>
      </c>
    </row>
    <row r="16" spans="1:206" x14ac:dyDescent="0.2">
      <c r="A16" s="1210" t="s">
        <v>654</v>
      </c>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row>
    <row r="17" spans="1:206" x14ac:dyDescent="0.2">
      <c r="A17" s="1211"/>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row>
    <row r="18" spans="1:206" x14ac:dyDescent="0.2">
      <c r="A18" s="1211"/>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row>
    <row r="19" spans="1:206" s="300" customFormat="1" x14ac:dyDescent="0.2">
      <c r="A19" s="1212" t="s">
        <v>2498</v>
      </c>
    </row>
    <row r="20" spans="1:206" s="300" customFormat="1" x14ac:dyDescent="0.2">
      <c r="A20" s="1213" t="s">
        <v>2461</v>
      </c>
    </row>
    <row r="21" spans="1:206" s="300" customFormat="1" x14ac:dyDescent="0.2">
      <c r="A21" s="1213" t="s">
        <v>266</v>
      </c>
    </row>
    <row r="22" spans="1:206" s="300" customFormat="1" x14ac:dyDescent="0.2">
      <c r="A22" s="1213" t="s">
        <v>2459</v>
      </c>
    </row>
    <row r="23" spans="1:206" s="300" customFormat="1" x14ac:dyDescent="0.2">
      <c r="A23" s="1213" t="s">
        <v>2460</v>
      </c>
    </row>
    <row r="24" spans="1:206" s="300" customFormat="1" x14ac:dyDescent="0.2">
      <c r="A24" s="1213" t="s">
        <v>262</v>
      </c>
    </row>
    <row r="25" spans="1:206" s="300" customFormat="1" x14ac:dyDescent="0.2">
      <c r="A25" s="1213" t="s">
        <v>51</v>
      </c>
    </row>
    <row r="26" spans="1:206" s="300" customFormat="1" x14ac:dyDescent="0.2">
      <c r="A26" s="1213" t="s">
        <v>235</v>
      </c>
    </row>
    <row r="27" spans="1:206" s="300" customFormat="1" x14ac:dyDescent="0.2">
      <c r="A27" s="1213" t="s">
        <v>705</v>
      </c>
    </row>
    <row r="28" spans="1:206" s="300" customFormat="1" x14ac:dyDescent="0.2">
      <c r="A28" s="1213" t="s">
        <v>13</v>
      </c>
    </row>
    <row r="29" spans="1:206" s="300" customFormat="1" x14ac:dyDescent="0.2">
      <c r="A29" s="1213" t="s">
        <v>65</v>
      </c>
    </row>
    <row r="30" spans="1:206" s="300" customFormat="1" x14ac:dyDescent="0.2">
      <c r="A30" s="1213" t="s">
        <v>623</v>
      </c>
    </row>
    <row r="31" spans="1:206" s="300" customFormat="1" x14ac:dyDescent="0.2">
      <c r="A31" s="1213" t="s">
        <v>157</v>
      </c>
    </row>
    <row r="32" spans="1:206" s="300" customFormat="1" x14ac:dyDescent="0.2">
      <c r="A32" s="1213" t="s">
        <v>1249</v>
      </c>
    </row>
    <row r="33" spans="1:206" x14ac:dyDescent="0.2">
      <c r="A33" s="1210" t="s">
        <v>1958</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row>
    <row r="34" spans="1:206" x14ac:dyDescent="0.2">
      <c r="A34" s="1213" t="s">
        <v>654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row>
    <row r="35" spans="1:206" x14ac:dyDescent="0.2">
      <c r="A35" s="1214"/>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row>
    <row r="36" spans="1:206" x14ac:dyDescent="0.2">
      <c r="A36" s="1214"/>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row>
    <row r="37" spans="1:206" ht="15.75" customHeight="1" x14ac:dyDescent="0.2">
      <c r="A37" s="1215" t="s">
        <v>2499</v>
      </c>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row>
    <row r="38" spans="1:206" x14ac:dyDescent="0.2">
      <c r="A38" s="1216" t="s">
        <v>1317</v>
      </c>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row>
    <row r="39" spans="1:206" x14ac:dyDescent="0.2">
      <c r="A39" s="1216" t="s">
        <v>1267</v>
      </c>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row>
    <row r="40" spans="1:206" x14ac:dyDescent="0.2">
      <c r="A40" s="1216" t="s">
        <v>1268</v>
      </c>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row>
    <row r="41" spans="1:206" x14ac:dyDescent="0.2">
      <c r="A41" s="1216" t="s">
        <v>1269</v>
      </c>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row>
    <row r="42" spans="1:206" x14ac:dyDescent="0.2">
      <c r="A42" s="1216" t="s">
        <v>1318</v>
      </c>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row>
    <row r="43" spans="1:206" x14ac:dyDescent="0.2">
      <c r="A43" s="1216" t="s">
        <v>1264</v>
      </c>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row>
    <row r="44" spans="1:206" x14ac:dyDescent="0.2">
      <c r="A44" s="1216" t="s">
        <v>1265</v>
      </c>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row>
    <row r="45" spans="1:206" x14ac:dyDescent="0.2">
      <c r="A45" s="1216" t="s">
        <v>1266</v>
      </c>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row>
    <row r="46" spans="1:206" x14ac:dyDescent="0.2">
      <c r="A46" s="1216" t="s">
        <v>2256</v>
      </c>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row>
    <row r="47" spans="1:206" ht="15.75" customHeight="1" x14ac:dyDescent="0.2">
      <c r="A47" s="1217" t="s">
        <v>2492</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row>
    <row r="48" spans="1:206" x14ac:dyDescent="0.2">
      <c r="A48" s="1218" t="s">
        <v>1317</v>
      </c>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row>
    <row r="49" spans="1:206" x14ac:dyDescent="0.2">
      <c r="A49" s="1218" t="s">
        <v>1267</v>
      </c>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row>
    <row r="50" spans="1:206" x14ac:dyDescent="0.2">
      <c r="A50" s="1218" t="s">
        <v>1268</v>
      </c>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row>
    <row r="51" spans="1:206" x14ac:dyDescent="0.2">
      <c r="A51" s="1218" t="s">
        <v>1269</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row>
    <row r="52" spans="1:206" x14ac:dyDescent="0.2">
      <c r="A52" s="1218" t="s">
        <v>1318</v>
      </c>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row>
    <row r="53" spans="1:206" x14ac:dyDescent="0.2">
      <c r="A53" s="1218" t="s">
        <v>1264</v>
      </c>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row>
    <row r="54" spans="1:206" x14ac:dyDescent="0.2">
      <c r="A54" s="1219" t="s">
        <v>1265</v>
      </c>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row>
    <row r="55" spans="1:206" x14ac:dyDescent="0.2">
      <c r="A55" s="1219" t="s">
        <v>1266</v>
      </c>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row>
    <row r="56" spans="1:206" x14ac:dyDescent="0.2">
      <c r="A56" s="1219" t="s">
        <v>2458</v>
      </c>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row>
    <row r="57" spans="1:206" x14ac:dyDescent="0.2">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row>
    <row r="58" spans="1:206" x14ac:dyDescent="0.2">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row>
    <row r="59" spans="1:206" x14ac:dyDescent="0.2">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row>
    <row r="60" spans="1:206" x14ac:dyDescent="0.2">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row>
    <row r="61" spans="1:206" x14ac:dyDescent="0.2">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row>
    <row r="62" spans="1:206" x14ac:dyDescent="0.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row>
    <row r="63" spans="1:206" x14ac:dyDescent="0.2">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row>
    <row r="64" spans="1:206" x14ac:dyDescent="0.2">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row>
    <row r="65" spans="3:206" x14ac:dyDescent="0.2">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row>
    <row r="66" spans="3:206" x14ac:dyDescent="0.2">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row>
    <row r="67" spans="3:206" x14ac:dyDescent="0.2">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row>
    <row r="68" spans="3:206" x14ac:dyDescent="0.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row>
    <row r="69" spans="3:206" x14ac:dyDescent="0.2">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row>
    <row r="70" spans="3:206" x14ac:dyDescent="0.2">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row>
    <row r="71" spans="3:206" x14ac:dyDescent="0.2">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row>
    <row r="72" spans="3:206" x14ac:dyDescent="0.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row>
    <row r="73" spans="3:206" x14ac:dyDescent="0.2">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row>
    <row r="74" spans="3:206" x14ac:dyDescent="0.2">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row>
    <row r="75" spans="3:206" x14ac:dyDescent="0.2">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row>
    <row r="76" spans="3:206" x14ac:dyDescent="0.2">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row>
    <row r="77" spans="3:206" x14ac:dyDescent="0.2">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row>
    <row r="78" spans="3:206" x14ac:dyDescent="0.2">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row>
    <row r="79" spans="3:206" x14ac:dyDescent="0.2">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row>
    <row r="80" spans="3:206" x14ac:dyDescent="0.2">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row>
    <row r="81" spans="3:206" x14ac:dyDescent="0.2">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row>
    <row r="82" spans="3:206" x14ac:dyDescent="0.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row>
    <row r="83" spans="3:206" x14ac:dyDescent="0.2">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row>
    <row r="84" spans="3:206" x14ac:dyDescent="0.2">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row>
    <row r="85" spans="3:206" x14ac:dyDescent="0.2">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row>
    <row r="86" spans="3:206" x14ac:dyDescent="0.2">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row>
    <row r="87" spans="3:206" x14ac:dyDescent="0.2">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row>
    <row r="88" spans="3:206" x14ac:dyDescent="0.2">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row>
    <row r="89" spans="3:206" x14ac:dyDescent="0.2">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row>
    <row r="90" spans="3:206" x14ac:dyDescent="0.2">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row>
    <row r="91" spans="3:206" x14ac:dyDescent="0.2">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row>
    <row r="92" spans="3:206" x14ac:dyDescent="0.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row>
    <row r="93" spans="3:206" x14ac:dyDescent="0.2">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row>
    <row r="94" spans="3:206" x14ac:dyDescent="0.2">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row>
    <row r="95" spans="3:206" x14ac:dyDescent="0.2">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row>
    <row r="96" spans="3:206" x14ac:dyDescent="0.2">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row>
    <row r="97" spans="3:206" x14ac:dyDescent="0.2">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row>
    <row r="98" spans="3:206" x14ac:dyDescent="0.2">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row>
    <row r="99" spans="3:206" x14ac:dyDescent="0.2">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row>
    <row r="100" spans="3:206" x14ac:dyDescent="0.2">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row>
    <row r="101" spans="3:206" x14ac:dyDescent="0.2">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row>
    <row r="102" spans="3:206" x14ac:dyDescent="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row>
    <row r="103" spans="3:206" x14ac:dyDescent="0.2">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row>
    <row r="104" spans="3:206" x14ac:dyDescent="0.2">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row>
    <row r="105" spans="3:206" x14ac:dyDescent="0.2">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row>
    <row r="106" spans="3:206" x14ac:dyDescent="0.2">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row>
    <row r="107" spans="3:206" x14ac:dyDescent="0.2">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row>
    <row r="108" spans="3:206" x14ac:dyDescent="0.2">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row>
    <row r="109" spans="3:206" x14ac:dyDescent="0.2">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row>
    <row r="110" spans="3:206" x14ac:dyDescent="0.2">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b_x002d_category xmlns="beb12a02-e4d3-4a66-8f74-4e9436112691">ABWRET</Sub_x002d_category>
    <Date_x0020_Produced xmlns="beb12a02-e4d3-4a66-8f74-4e9436112691">2016-07-06T06:00:00+00:00</Date_x0020_Produced>
    <Category xmlns="beb12a02-e4d3-4a66-8f74-4e9436112691">Project Deliverable</Category>
    <_Version xmlns="http://schemas.microsoft.com/sharepoint/v3/fields">1.0</_Version>
    <Working_x0020_Group xmlns="beb12a02-e4d3-4a66-8f74-4e9436112691">
      <Value>Technical Working Group</Value>
    </Working_x0020_Group>
    <Action_x0020_needed xmlns="beb12a02-e4d3-4a66-8f74-4e9436112691">Matt to review, Chen to fix if needed</Action_x0020_needed>
    <Actionable xmlns="beb12a02-e4d3-4a66-8f74-4e9436112691">true</Actionable>
    <Source xmlns="beb12a02-e4d3-4a66-8f74-4e9436112691" xsi:nil="true"/>
    <Assigned_x0020_to0 xmlns="beb12a02-e4d3-4a66-8f74-4e9436112691">
      <UserInfo>
        <DisplayName>Matthew Wilson</DisplayName>
        <AccountId>14494</AccountId>
        <AccountType/>
      </UserInfo>
    </Assigned_x0020_to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9422685C2AA8468DC3370C4843F2E4" ma:contentTypeVersion="12" ma:contentTypeDescription="Create a new document." ma:contentTypeScope="" ma:versionID="9dc829f68b77c8ce44f0d193f6226914">
  <xsd:schema xmlns:xsd="http://www.w3.org/2001/XMLSchema" xmlns:xs="http://www.w3.org/2001/XMLSchema" xmlns:p="http://schemas.microsoft.com/office/2006/metadata/properties" xmlns:ns2="beb12a02-e4d3-4a66-8f74-4e9436112691" xmlns:ns3="http://schemas.microsoft.com/sharepoint/v3/fields" targetNamespace="http://schemas.microsoft.com/office/2006/metadata/properties" ma:root="true" ma:fieldsID="caab44ad93c6d4f5984ebe64ad69ec26" ns2:_="" ns3:_="">
    <xsd:import namespace="beb12a02-e4d3-4a66-8f74-4e9436112691"/>
    <xsd:import namespace="http://schemas.microsoft.com/sharepoint/v3/fields"/>
    <xsd:element name="properties">
      <xsd:complexType>
        <xsd:sequence>
          <xsd:element name="documentManagement">
            <xsd:complexType>
              <xsd:all>
                <xsd:element ref="ns2:Category" minOccurs="0"/>
                <xsd:element ref="ns2:Sub_x002d_category" minOccurs="0"/>
                <xsd:element ref="ns2:Actionable" minOccurs="0"/>
                <xsd:element ref="ns2:Action_x0020_needed" minOccurs="0"/>
                <xsd:element ref="ns2:Source" minOccurs="0"/>
                <xsd:element ref="ns2:Date_x0020_Produced" minOccurs="0"/>
                <xsd:element ref="ns2:Working_x0020_Group" minOccurs="0"/>
                <xsd:element ref="ns2:Assigned_x0020_to0"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b12a02-e4d3-4a66-8f74-4e9436112691" elementFormDefault="qualified">
    <xsd:import namespace="http://schemas.microsoft.com/office/2006/documentManagement/types"/>
    <xsd:import namespace="http://schemas.microsoft.com/office/infopath/2007/PartnerControls"/>
    <xsd:element name="Category" ma:index="2" nillable="true" ma:displayName="Category" ma:format="Dropdown" ma:internalName="Category">
      <xsd:simpleType>
        <xsd:restriction base="dms:Choice">
          <xsd:enumeration value="Planning"/>
          <xsd:enumeration value="Presentation"/>
          <xsd:enumeration value="Administrative"/>
          <xsd:enumeration value="Reference"/>
          <xsd:enumeration value="Project Deliverable"/>
        </xsd:restriction>
      </xsd:simpleType>
    </xsd:element>
    <xsd:element name="Sub_x002d_category" ma:index="3" nillable="true" ma:displayName="Sub-category" ma:format="Dropdown" ma:internalName="Sub_x002d_category">
      <xsd:simpleType>
        <xsd:union memberTypes="dms:Text">
          <xsd:simpleType>
            <xsd:restriction base="dms:Choice">
              <xsd:enumeration value="ABWRET"/>
              <xsd:enumeration value="Agenda"/>
              <xsd:enumeration value="Authorization Process Docs"/>
              <xsd:enumeration value="Business Case"/>
              <xsd:enumeration value="Contract"/>
              <xsd:enumeration value="Decision"/>
              <xsd:enumeration value="Journal Article"/>
              <xsd:enumeration value="Notes"/>
              <xsd:enumeration value="Process map"/>
              <xsd:enumeration value="Project charter"/>
              <xsd:enumeration value="QWSP"/>
              <xsd:enumeration value="Report"/>
              <xsd:enumeration value="Statement of Requirements"/>
              <xsd:enumeration value="Status Report"/>
              <xsd:enumeration value="Terms of Reference"/>
              <xsd:enumeration value="Work Plan"/>
            </xsd:restriction>
          </xsd:simpleType>
        </xsd:union>
      </xsd:simpleType>
    </xsd:element>
    <xsd:element name="Actionable" ma:index="4" nillable="true" ma:displayName="Actionable" ma:default="0" ma:internalName="Actionable">
      <xsd:simpleType>
        <xsd:restriction base="dms:Boolean"/>
      </xsd:simpleType>
    </xsd:element>
    <xsd:element name="Action_x0020_needed" ma:index="5" nillable="true" ma:displayName="Action needed" ma:internalName="Action_x0020_needed">
      <xsd:simpleType>
        <xsd:restriction base="dms:Text">
          <xsd:maxLength value="255"/>
        </xsd:restriction>
      </xsd:simpleType>
    </xsd:element>
    <xsd:element name="Source" ma:index="6" nillable="true" ma:displayName="Source" ma:description="Describes the source of the document origin (E.g. Core WG; Systems WG; Author, Document made available by...)" ma:internalName="Source">
      <xsd:simpleType>
        <xsd:restriction base="dms:Text">
          <xsd:maxLength value="255"/>
        </xsd:restriction>
      </xsd:simpleType>
    </xsd:element>
    <xsd:element name="Date_x0020_Produced" ma:index="7" nillable="true" ma:displayName="Date Produced" ma:format="DateOnly" ma:internalName="Date_x0020_Produced">
      <xsd:simpleType>
        <xsd:restriction base="dms:DateTime"/>
      </xsd:simpleType>
    </xsd:element>
    <xsd:element name="Working_x0020_Group" ma:index="8" nillable="true" ma:displayName="Working Group" ma:internalName="Working_x0020_Group">
      <xsd:complexType>
        <xsd:complexContent>
          <xsd:extension base="dms:MultiChoice">
            <xsd:sequence>
              <xsd:element name="Value" maxOccurs="unbounded" minOccurs="0" nillable="true">
                <xsd:simpleType>
                  <xsd:restriction base="dms:Choice">
                    <xsd:enumeration value="Core Working Group"/>
                    <xsd:enumeration value="Education Working Group"/>
                    <xsd:enumeration value="Governance Working Group"/>
                    <xsd:enumeration value="Regulatory Working Group"/>
                    <xsd:enumeration value="Systems Working Group"/>
                    <xsd:enumeration value="Technical Working Group"/>
                    <xsd:enumeration value="Other"/>
                  </xsd:restriction>
                </xsd:simpleType>
              </xsd:element>
            </xsd:sequence>
          </xsd:extension>
        </xsd:complexContent>
      </xsd:complexType>
    </xsd:element>
    <xsd:element name="Assigned_x0020_to0" ma:index="9" nillable="true" ma:displayName="Assigned to" ma:list="UserInfo" ma:SharePointGroup="14492" ma:internalName="Assigned_x0020_to0"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0"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Official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2BF6AA-C884-440F-9FB9-00D882A97510}">
  <ds:schemaRefs>
    <ds:schemaRef ds:uri="beb12a02-e4d3-4a66-8f74-4e9436112691"/>
    <ds:schemaRef ds:uri="http://purl.org/dc/dcmitype/"/>
    <ds:schemaRef ds:uri="http://www.w3.org/XML/1998/namespace"/>
    <ds:schemaRef ds:uri="http://schemas.microsoft.com/office/2006/documentManagement/types"/>
    <ds:schemaRef ds:uri="http://schemas.microsoft.com/sharepoint/v3/field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2525340-F313-4BD0-8ED5-E212323B8D6B}">
  <ds:schemaRefs>
    <ds:schemaRef ds:uri="http://schemas.microsoft.com/sharepoint/v3/contenttype/forms"/>
  </ds:schemaRefs>
</ds:datastoreItem>
</file>

<file path=customXml/itemProps3.xml><?xml version="1.0" encoding="utf-8"?>
<ds:datastoreItem xmlns:ds="http://schemas.openxmlformats.org/officeDocument/2006/customXml" ds:itemID="{D9AA033E-69A2-45CF-A152-F7F01997FF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b12a02-e4d3-4a66-8f74-4e943611269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467</vt:i4>
      </vt:variant>
    </vt:vector>
  </HeadingPairs>
  <TitlesOfParts>
    <vt:vector size="494" baseType="lpstr">
      <vt:lpstr>CoverPg</vt:lpstr>
      <vt:lpstr>F</vt:lpstr>
      <vt:lpstr>S</vt:lpstr>
      <vt:lpstr>OF</vt:lpstr>
      <vt:lpstr>AllSitesA</vt:lpstr>
      <vt:lpstr>SaveVarsA</vt:lpstr>
      <vt:lpstr>Calibration Stats</vt:lpstr>
      <vt:lpstr>AllSitesE</vt:lpstr>
      <vt:lpstr>AllSitesEsub</vt:lpstr>
      <vt:lpstr>WS</vt:lpstr>
      <vt:lpstr>SFS</vt:lpstr>
      <vt:lpstr>WC</vt:lpstr>
      <vt:lpstr>SR</vt:lpstr>
      <vt:lpstr>PR</vt:lpstr>
      <vt:lpstr>NR</vt:lpstr>
      <vt:lpstr>OE</vt:lpstr>
      <vt:lpstr>INV</vt:lpstr>
      <vt:lpstr>FH</vt:lpstr>
      <vt:lpstr>AM</vt:lpstr>
      <vt:lpstr>WB</vt:lpstr>
      <vt:lpstr>SBRM</vt:lpstr>
      <vt:lpstr>PH</vt:lpstr>
      <vt:lpstr>FIRE</vt:lpstr>
      <vt:lpstr>HU</vt:lpstr>
      <vt:lpstr>Scores</vt:lpstr>
      <vt:lpstr>RarePlants</vt:lpstr>
      <vt:lpstr>RareAnimals</vt:lpstr>
      <vt:lpstr>_Bog6</vt:lpstr>
      <vt:lpstr>_GDD1</vt:lpstr>
      <vt:lpstr>_Iso2</vt:lpstr>
      <vt:lpstr>Access1a</vt:lpstr>
      <vt:lpstr>Acidic13</vt:lpstr>
      <vt:lpstr>AcidicPool10</vt:lpstr>
      <vt:lpstr>AcidPool10</vt:lpstr>
      <vt:lpstr>ADSORB1A</vt:lpstr>
      <vt:lpstr>Algae21</vt:lpstr>
      <vt:lpstr>Algae3</vt:lpstr>
      <vt:lpstr>AllForbCov</vt:lpstr>
      <vt:lpstr>AllHerbCov</vt:lpstr>
      <vt:lpstr>AllMoss</vt:lpstr>
      <vt:lpstr>AllNat</vt:lpstr>
      <vt:lpstr>AllOpenPond</vt:lpstr>
      <vt:lpstr>AllSat1</vt:lpstr>
      <vt:lpstr>AllSat2</vt:lpstr>
      <vt:lpstr>AllWet</vt:lpstr>
      <vt:lpstr>AllWoody1</vt:lpstr>
      <vt:lpstr>AltTime10</vt:lpstr>
      <vt:lpstr>AltTime20</vt:lpstr>
      <vt:lpstr>AltTime8</vt:lpstr>
      <vt:lpstr>AnoxF1a</vt:lpstr>
      <vt:lpstr>AqCov8</vt:lpstr>
      <vt:lpstr>Aspect</vt:lpstr>
      <vt:lpstr>Beaver10</vt:lpstr>
      <vt:lpstr>Beaver11</vt:lpstr>
      <vt:lpstr>Beaver13</vt:lpstr>
      <vt:lpstr>Beaver14</vt:lpstr>
      <vt:lpstr>Beaver14a</vt:lpstr>
      <vt:lpstr>Beaver8</vt:lpstr>
      <vt:lpstr>BeaverPD</vt:lpstr>
      <vt:lpstr>BioDivZone</vt:lpstr>
      <vt:lpstr>BMP_11</vt:lpstr>
      <vt:lpstr>BMP_13</vt:lpstr>
      <vt:lpstr>BMP_14</vt:lpstr>
      <vt:lpstr>BMPsoils20</vt:lpstr>
      <vt:lpstr>BMPsoilsPU</vt:lpstr>
      <vt:lpstr>BMPwildPU</vt:lpstr>
      <vt:lpstr>BuffAllNat</vt:lpstr>
      <vt:lpstr>BuffLUpd</vt:lpstr>
      <vt:lpstr>BuffNatPct11</vt:lpstr>
      <vt:lpstr>BuffNatPct13</vt:lpstr>
      <vt:lpstr>BuffNatPct8</vt:lpstr>
      <vt:lpstr>Burn1</vt:lpstr>
      <vt:lpstr>Burn10</vt:lpstr>
      <vt:lpstr>Burn15</vt:lpstr>
      <vt:lpstr>Burn2</vt:lpstr>
      <vt:lpstr>Burn6</vt:lpstr>
      <vt:lpstr>Burn8</vt:lpstr>
      <vt:lpstr>CARB1A</vt:lpstr>
      <vt:lpstr>CaribouFound</vt:lpstr>
      <vt:lpstr>CaribouRange</vt:lpstr>
      <vt:lpstr>CfixA1a</vt:lpstr>
      <vt:lpstr>CfixF1a</vt:lpstr>
      <vt:lpstr>CfixI1a</vt:lpstr>
      <vt:lpstr>CfixS1a</vt:lpstr>
      <vt:lpstr>CfixV1a</vt:lpstr>
      <vt:lpstr>CfixW1a</vt:lpstr>
      <vt:lpstr>ChannConn</vt:lpstr>
      <vt:lpstr>ClassRich1k</vt:lpstr>
      <vt:lpstr>ClassRichIn</vt:lpstr>
      <vt:lpstr>ClassRichIn14</vt:lpstr>
      <vt:lpstr>ClassRichIn15</vt:lpstr>
      <vt:lpstr>ClassRichIn8</vt:lpstr>
      <vt:lpstr>Cliff14</vt:lpstr>
      <vt:lpstr>Cliffs14</vt:lpstr>
      <vt:lpstr>Conduc10</vt:lpstr>
      <vt:lpstr>Conduc8</vt:lpstr>
      <vt:lpstr>Constric1</vt:lpstr>
      <vt:lpstr>Constric2</vt:lpstr>
      <vt:lpstr>Constric3</vt:lpstr>
      <vt:lpstr>Constric4</vt:lpstr>
      <vt:lpstr>Constric6</vt:lpstr>
      <vt:lpstr>Core1_11</vt:lpstr>
      <vt:lpstr>Core1_13</vt:lpstr>
      <vt:lpstr>Core13a</vt:lpstr>
      <vt:lpstr>Core14a</vt:lpstr>
      <vt:lpstr>Core14b</vt:lpstr>
      <vt:lpstr>Core1pd</vt:lpstr>
      <vt:lpstr>Core1PU</vt:lpstr>
      <vt:lpstr>Core2_11</vt:lpstr>
      <vt:lpstr>Core2_13</vt:lpstr>
      <vt:lpstr>Core2pd</vt:lpstr>
      <vt:lpstr>Core2PU</vt:lpstr>
      <vt:lpstr>Cstock1a</vt:lpstr>
      <vt:lpstr>CUbuffNatPct14</vt:lpstr>
      <vt:lpstr>CUbuffPctNat8</vt:lpstr>
      <vt:lpstr>dbhPD</vt:lpstr>
      <vt:lpstr>DELAY1A</vt:lpstr>
      <vt:lpstr>Depth10</vt:lpstr>
      <vt:lpstr>Depth15</vt:lpstr>
      <vt:lpstr>Depth2_</vt:lpstr>
      <vt:lpstr>Depth7</vt:lpstr>
      <vt:lpstr>Depth8</vt:lpstr>
      <vt:lpstr>DepthC2</vt:lpstr>
      <vt:lpstr>DepthDiv8</vt:lpstr>
      <vt:lpstr>DepthEven10</vt:lpstr>
      <vt:lpstr>DepthEven13</vt:lpstr>
      <vt:lpstr>Dist2DevCrop</vt:lpstr>
      <vt:lpstr>Dist2Industrial</vt:lpstr>
      <vt:lpstr>Dist2Road</vt:lpstr>
      <vt:lpstr>DistIndus</vt:lpstr>
      <vt:lpstr>DistPop</vt:lpstr>
      <vt:lpstr>DomDepth3</vt:lpstr>
      <vt:lpstr>DownWood15</vt:lpstr>
      <vt:lpstr>ElevPctileHUC8</vt:lpstr>
      <vt:lpstr>EmPct13</vt:lpstr>
      <vt:lpstr>FenBogMarsh</vt:lpstr>
      <vt:lpstr>FenMarshSwamp</vt:lpstr>
      <vt:lpstr>FenPct</vt:lpstr>
      <vt:lpstr>FireBreak</vt:lpstr>
      <vt:lpstr>Fish10</vt:lpstr>
      <vt:lpstr>Fish11</vt:lpstr>
      <vt:lpstr>Fish13</vt:lpstr>
      <vt:lpstr>FishPres</vt:lpstr>
      <vt:lpstr>FloDist1</vt:lpstr>
      <vt:lpstr>Fluc2</vt:lpstr>
      <vt:lpstr>FlucPD</vt:lpstr>
      <vt:lpstr>Fluctu11</vt:lpstr>
      <vt:lpstr>Fluctu13</vt:lpstr>
      <vt:lpstr>Fluctu3</vt:lpstr>
      <vt:lpstr>Fluctu4</vt:lpstr>
      <vt:lpstr>Fluctu6</vt:lpstr>
      <vt:lpstr>Fluctu8</vt:lpstr>
      <vt:lpstr>Fluctua1</vt:lpstr>
      <vt:lpstr>ForbCov14</vt:lpstr>
      <vt:lpstr>forbsPD</vt:lpstr>
      <vt:lpstr>ForestedPeat</vt:lpstr>
      <vt:lpstr>Fringe</vt:lpstr>
      <vt:lpstr>Fringe10</vt:lpstr>
      <vt:lpstr>Fringe21</vt:lpstr>
      <vt:lpstr>Gcover2</vt:lpstr>
      <vt:lpstr>Gcover3</vt:lpstr>
      <vt:lpstr>Gcover4</vt:lpstr>
      <vt:lpstr>Gcover6</vt:lpstr>
      <vt:lpstr>Girreg1</vt:lpstr>
      <vt:lpstr>Girreg11</vt:lpstr>
      <vt:lpstr>Girreg2</vt:lpstr>
      <vt:lpstr>Girreg3</vt:lpstr>
      <vt:lpstr>Girreg4</vt:lpstr>
      <vt:lpstr>Girreg8</vt:lpstr>
      <vt:lpstr>GirregPD</vt:lpstr>
      <vt:lpstr>Gradient1</vt:lpstr>
      <vt:lpstr>Gradient11</vt:lpstr>
      <vt:lpstr>Gradient13</vt:lpstr>
      <vt:lpstr>Gradient2</vt:lpstr>
      <vt:lpstr>Gradient3</vt:lpstr>
      <vt:lpstr>Gradient4</vt:lpstr>
      <vt:lpstr>Gradient6</vt:lpstr>
      <vt:lpstr>Groundw1</vt:lpstr>
      <vt:lpstr>Groundw10</vt:lpstr>
      <vt:lpstr>GroundW11</vt:lpstr>
      <vt:lpstr>Groundw2_</vt:lpstr>
      <vt:lpstr>Groundw4</vt:lpstr>
      <vt:lpstr>Groundw8</vt:lpstr>
      <vt:lpstr>GrowDD</vt:lpstr>
      <vt:lpstr>Gwater7</vt:lpstr>
      <vt:lpstr>GWDspring</vt:lpstr>
      <vt:lpstr>GWIN1A</vt:lpstr>
      <vt:lpstr>GWpd</vt:lpstr>
      <vt:lpstr>GWplantdiv</vt:lpstr>
      <vt:lpstr>GWrisk1</vt:lpstr>
      <vt:lpstr>HabStrucA1a</vt:lpstr>
      <vt:lpstr>HabStrucF1a</vt:lpstr>
      <vt:lpstr>HabStrucI1a</vt:lpstr>
      <vt:lpstr>HabStrucS1a</vt:lpstr>
      <vt:lpstr>HabStrucW1a</vt:lpstr>
      <vt:lpstr>HazPond</vt:lpstr>
      <vt:lpstr>HerbDiv8</vt:lpstr>
      <vt:lpstr>HerbDom14</vt:lpstr>
      <vt:lpstr>herbdom15</vt:lpstr>
      <vt:lpstr>HerbWood15</vt:lpstr>
      <vt:lpstr>HerbWoodMix11</vt:lpstr>
      <vt:lpstr>HerbWoodMix14</vt:lpstr>
      <vt:lpstr>HerbWoodMix4</vt:lpstr>
      <vt:lpstr>IBirdArea</vt:lpstr>
      <vt:lpstr>InBigRemnant</vt:lpstr>
      <vt:lpstr>Inclus14</vt:lpstr>
      <vt:lpstr>Inclus4</vt:lpstr>
      <vt:lpstr>INFILT1a</vt:lpstr>
      <vt:lpstr>InfloPD</vt:lpstr>
      <vt:lpstr>Inflows</vt:lpstr>
      <vt:lpstr>Interspers10</vt:lpstr>
      <vt:lpstr>Interspers11</vt:lpstr>
      <vt:lpstr>Interspers13</vt:lpstr>
      <vt:lpstr>Interspers14</vt:lpstr>
      <vt:lpstr>Interspers2</vt:lpstr>
      <vt:lpstr>Interspers3</vt:lpstr>
      <vt:lpstr>Interspers4</vt:lpstr>
      <vt:lpstr>Interspers6</vt:lpstr>
      <vt:lpstr>Interspers8</vt:lpstr>
      <vt:lpstr>InterspersPD</vt:lpstr>
      <vt:lpstr>Invasives</vt:lpstr>
      <vt:lpstr>Invest21</vt:lpstr>
      <vt:lpstr>Island13</vt:lpstr>
      <vt:lpstr>IsoDry1</vt:lpstr>
      <vt:lpstr>ISOdry10</vt:lpstr>
      <vt:lpstr>ISOdry13</vt:lpstr>
      <vt:lpstr>ISOdry7</vt:lpstr>
      <vt:lpstr>ISOwet11</vt:lpstr>
      <vt:lpstr>IsoWet2</vt:lpstr>
      <vt:lpstr>IsoWet2a</vt:lpstr>
      <vt:lpstr>IsoWet2s</vt:lpstr>
      <vt:lpstr>LabileC1a</vt:lpstr>
      <vt:lpstr>Lake</vt:lpstr>
      <vt:lpstr>Lake10</vt:lpstr>
      <vt:lpstr>Lake13</vt:lpstr>
      <vt:lpstr>Lake21</vt:lpstr>
      <vt:lpstr>Lake3</vt:lpstr>
      <vt:lpstr>LargeWetVeg</vt:lpstr>
      <vt:lpstr>Linear</vt:lpstr>
      <vt:lpstr>LscapeAM</vt:lpstr>
      <vt:lpstr>LscapeS1a</vt:lpstr>
      <vt:lpstr>LscapeW1a</vt:lpstr>
      <vt:lpstr>MarshPct</vt:lpstr>
      <vt:lpstr>MarshUniq</vt:lpstr>
      <vt:lpstr>Moss6</vt:lpstr>
      <vt:lpstr>Moss8</vt:lpstr>
      <vt:lpstr>NatCov1k</vt:lpstr>
      <vt:lpstr>NatVegCApd</vt:lpstr>
      <vt:lpstr>NatVegCUpct10</vt:lpstr>
      <vt:lpstr>NewWet</vt:lpstr>
      <vt:lpstr>NewWet6</vt:lpstr>
      <vt:lpstr>NewWetNot6</vt:lpstr>
      <vt:lpstr>NewWetPD</vt:lpstr>
      <vt:lpstr>Nfixer6</vt:lpstr>
      <vt:lpstr>Nfixers8</vt:lpstr>
      <vt:lpstr>NfixPD</vt:lpstr>
      <vt:lpstr>NoHerbCov</vt:lpstr>
      <vt:lpstr>NoOpenPonded</vt:lpstr>
      <vt:lpstr>NoOpenPonded1</vt:lpstr>
      <vt:lpstr>NoOtherWettypes</vt:lpstr>
      <vt:lpstr>NoOutlet1a</vt:lpstr>
      <vt:lpstr>NoPermW10</vt:lpstr>
      <vt:lpstr>NoPersis</vt:lpstr>
      <vt:lpstr>NoPonded</vt:lpstr>
      <vt:lpstr>NoSeasonal</vt:lpstr>
      <vt:lpstr>NoWoodyVeg</vt:lpstr>
      <vt:lpstr>OpenPct1</vt:lpstr>
      <vt:lpstr>OpenPonded2</vt:lpstr>
      <vt:lpstr>OpenPonded2a</vt:lpstr>
      <vt:lpstr>OpenPonded7</vt:lpstr>
      <vt:lpstr>OpenW</vt:lpstr>
      <vt:lpstr>OpenWpct3</vt:lpstr>
      <vt:lpstr>OUT2A</vt:lpstr>
      <vt:lpstr>OUT3A</vt:lpstr>
      <vt:lpstr>OUT7A</vt:lpstr>
      <vt:lpstr>OutC1a</vt:lpstr>
      <vt:lpstr>OutDur2</vt:lpstr>
      <vt:lpstr>OutDur2_</vt:lpstr>
      <vt:lpstr>OutDur7</vt:lpstr>
      <vt:lpstr>OutDura1</vt:lpstr>
      <vt:lpstr>OutDura10</vt:lpstr>
      <vt:lpstr>OutDura3</vt:lpstr>
      <vt:lpstr>OutDura4</vt:lpstr>
      <vt:lpstr>OutDura6</vt:lpstr>
      <vt:lpstr>OutNone</vt:lpstr>
      <vt:lpstr>OutNone1</vt:lpstr>
      <vt:lpstr>OWarea</vt:lpstr>
      <vt:lpstr>Ownership</vt:lpstr>
      <vt:lpstr>OWpct</vt:lpstr>
      <vt:lpstr>OWpct_AM</vt:lpstr>
      <vt:lpstr>OWpct_INV</vt:lpstr>
      <vt:lpstr>OWpct_WB</vt:lpstr>
      <vt:lpstr>OWpct10</vt:lpstr>
      <vt:lpstr>OWpct11</vt:lpstr>
      <vt:lpstr>OWpct13</vt:lpstr>
      <vt:lpstr>OWpct4</vt:lpstr>
      <vt:lpstr>OWpct6</vt:lpstr>
      <vt:lpstr>OWpct8</vt:lpstr>
      <vt:lpstr>peat1</vt:lpstr>
      <vt:lpstr>peat2</vt:lpstr>
      <vt:lpstr>PermWpct10</vt:lpstr>
      <vt:lpstr>PermWpct13</vt:lpstr>
      <vt:lpstr>PermWpct14</vt:lpstr>
      <vt:lpstr>PermWpct15</vt:lpstr>
      <vt:lpstr>PermWpct4</vt:lpstr>
      <vt:lpstr>PermWpct8</vt:lpstr>
      <vt:lpstr>Persis3</vt:lpstr>
      <vt:lpstr>PersisPD</vt:lpstr>
      <vt:lpstr>PondedOWpct14</vt:lpstr>
      <vt:lpstr>PondedOWpct21</vt:lpstr>
      <vt:lpstr>PondedOWpctPD</vt:lpstr>
      <vt:lpstr>PondedPct6</vt:lpstr>
      <vt:lpstr>PondPct4</vt:lpstr>
      <vt:lpstr>PPET</vt:lpstr>
      <vt:lpstr>CoverPg!Print_Area</vt:lpstr>
      <vt:lpstr>F!Print_Area</vt:lpstr>
      <vt:lpstr>OF!Print_Area</vt:lpstr>
      <vt:lpstr>S!Print_Area</vt:lpstr>
      <vt:lpstr>Scores!Print_Area</vt:lpstr>
      <vt:lpstr>Provis21</vt:lpstr>
      <vt:lpstr>Public</vt:lpstr>
      <vt:lpstr>RaptorNest</vt:lpstr>
      <vt:lpstr>RareAM</vt:lpstr>
      <vt:lpstr>RareBirdUse</vt:lpstr>
      <vt:lpstr>RareFish</vt:lpstr>
      <vt:lpstr>RarePlant2</vt:lpstr>
      <vt:lpstr>RarePlant20</vt:lpstr>
      <vt:lpstr>RareSBM</vt:lpstr>
      <vt:lpstr>RareWB</vt:lpstr>
      <vt:lpstr>RdDens1k</vt:lpstr>
      <vt:lpstr>RecreaPoten</vt:lpstr>
      <vt:lpstr>REDOX1A</vt:lpstr>
      <vt:lpstr>Reserve</vt:lpstr>
      <vt:lpstr>RESIST1a</vt:lpstr>
      <vt:lpstr>RipFloodpl</vt:lpstr>
      <vt:lpstr>Rock15</vt:lpstr>
      <vt:lpstr>Salin11</vt:lpstr>
      <vt:lpstr>Salin3</vt:lpstr>
      <vt:lpstr>SatPct10</vt:lpstr>
      <vt:lpstr>SatPct11</vt:lpstr>
      <vt:lpstr>SatPct13</vt:lpstr>
      <vt:lpstr>SatPct14</vt:lpstr>
      <vt:lpstr>SatPct3</vt:lpstr>
      <vt:lpstr>SatPct4</vt:lpstr>
      <vt:lpstr>SatPct7</vt:lpstr>
      <vt:lpstr>SatPct8</vt:lpstr>
      <vt:lpstr>Satur10</vt:lpstr>
      <vt:lpstr>SBhab13</vt:lpstr>
      <vt:lpstr>SeasPct1</vt:lpstr>
      <vt:lpstr>SeasPct2</vt:lpstr>
      <vt:lpstr>SeasPct8</vt:lpstr>
      <vt:lpstr>SeasWpct13</vt:lpstr>
      <vt:lpstr>SeasWpct4</vt:lpstr>
      <vt:lpstr>SeasWpct6</vt:lpstr>
      <vt:lpstr>SeasWpctPD</vt:lpstr>
      <vt:lpstr>SedCA8</vt:lpstr>
      <vt:lpstr>SedDisturb20</vt:lpstr>
      <vt:lpstr>Sedge14</vt:lpstr>
      <vt:lpstr>sedgePD</vt:lpstr>
      <vt:lpstr>SEDTRAP1A</vt:lpstr>
      <vt:lpstr>SensAm</vt:lpstr>
      <vt:lpstr>Shade10</vt:lpstr>
      <vt:lpstr>SHADE1A</vt:lpstr>
      <vt:lpstr>Shade6</vt:lpstr>
      <vt:lpstr>Shade7</vt:lpstr>
      <vt:lpstr>ShoreSlope13</vt:lpstr>
      <vt:lpstr>ShrubDiv14</vt:lpstr>
      <vt:lpstr>SlopeBuffer</vt:lpstr>
      <vt:lpstr>SmallAA</vt:lpstr>
      <vt:lpstr>SnagB13</vt:lpstr>
      <vt:lpstr>SnagD14</vt:lpstr>
      <vt:lpstr>Snags15</vt:lpstr>
      <vt:lpstr>Soil2_</vt:lpstr>
      <vt:lpstr>SoilAlt2</vt:lpstr>
      <vt:lpstr>SoilAlt3</vt:lpstr>
      <vt:lpstr>SoilDisturb4</vt:lpstr>
      <vt:lpstr>SoilDisturb8</vt:lpstr>
      <vt:lpstr>SoilTex1</vt:lpstr>
      <vt:lpstr>SoilTex3</vt:lpstr>
      <vt:lpstr>SoilTex4</vt:lpstr>
      <vt:lpstr>SoilTex6</vt:lpstr>
      <vt:lpstr>SoilTexPD</vt:lpstr>
      <vt:lpstr>Stain8</vt:lpstr>
      <vt:lpstr>Steep1</vt:lpstr>
      <vt:lpstr>Steep13</vt:lpstr>
      <vt:lpstr>Steep1ws</vt:lpstr>
      <vt:lpstr>Steep2ws</vt:lpstr>
      <vt:lpstr>STORE1a</vt:lpstr>
      <vt:lpstr>StressA1a</vt:lpstr>
      <vt:lpstr>StressF1a</vt:lpstr>
      <vt:lpstr>StressI1a</vt:lpstr>
      <vt:lpstr>StressS1a</vt:lpstr>
      <vt:lpstr>StressV1a</vt:lpstr>
      <vt:lpstr>StressW1a</vt:lpstr>
      <vt:lpstr>Sub0Days</vt:lpstr>
      <vt:lpstr>SwampMarshPct</vt:lpstr>
      <vt:lpstr>Swater</vt:lpstr>
      <vt:lpstr>TEMP1A</vt:lpstr>
      <vt:lpstr>ThruFlo1</vt:lpstr>
      <vt:lpstr>ThruFlo10</vt:lpstr>
      <vt:lpstr>ThruFlo2</vt:lpstr>
      <vt:lpstr>ThruFlo3</vt:lpstr>
      <vt:lpstr>ThruFlo4</vt:lpstr>
      <vt:lpstr>ThruFlo6</vt:lpstr>
      <vt:lpstr>ThruFlo8</vt:lpstr>
      <vt:lpstr>TooSteep13</vt:lpstr>
      <vt:lpstr>Toxic10</vt:lpstr>
      <vt:lpstr>Toxic11</vt:lpstr>
      <vt:lpstr>Toxic20</vt:lpstr>
      <vt:lpstr>Toxic8</vt:lpstr>
      <vt:lpstr>ToxSource13</vt:lpstr>
      <vt:lpstr>ToxSource14</vt:lpstr>
      <vt:lpstr>TRAP1A</vt:lpstr>
      <vt:lpstr>TreeForm13</vt:lpstr>
      <vt:lpstr>Trees13</vt:lpstr>
      <vt:lpstr>TreeTyp13</vt:lpstr>
      <vt:lpstr>TreeTypes14</vt:lpstr>
      <vt:lpstr>TreeVar11</vt:lpstr>
      <vt:lpstr>TrumSwan</vt:lpstr>
      <vt:lpstr>Type1</vt:lpstr>
      <vt:lpstr>UndevOpenL1k</vt:lpstr>
      <vt:lpstr>UniqClass</vt:lpstr>
      <vt:lpstr>UniqFenMarshSwamp</vt:lpstr>
      <vt:lpstr>UniqMarshShallowOW</vt:lpstr>
      <vt:lpstr>UpEutro1k</vt:lpstr>
      <vt:lpstr>Use1a</vt:lpstr>
      <vt:lpstr>VegIntersp8</vt:lpstr>
      <vt:lpstr>VegWabs3</vt:lpstr>
      <vt:lpstr>Visibility</vt:lpstr>
      <vt:lpstr>Vscape1a</vt:lpstr>
      <vt:lpstr>Vspace1a</vt:lpstr>
      <vt:lpstr>Vstruc1a</vt:lpstr>
      <vt:lpstr>Vwidth1</vt:lpstr>
      <vt:lpstr>Vwidth11</vt:lpstr>
      <vt:lpstr>Vwidth14</vt:lpstr>
      <vt:lpstr>VwidthAbs13</vt:lpstr>
      <vt:lpstr>VwidthAbs4</vt:lpstr>
      <vt:lpstr>VwidthAbs6</vt:lpstr>
      <vt:lpstr>WatEdgeSlope2</vt:lpstr>
      <vt:lpstr>Water10</vt:lpstr>
      <vt:lpstr>Water11</vt:lpstr>
      <vt:lpstr>Water13</vt:lpstr>
      <vt:lpstr>Water14</vt:lpstr>
      <vt:lpstr>Water1a</vt:lpstr>
      <vt:lpstr>Water3</vt:lpstr>
      <vt:lpstr>Water4</vt:lpstr>
      <vt:lpstr>Water7</vt:lpstr>
      <vt:lpstr>Water8</vt:lpstr>
      <vt:lpstr>WaterI1a</vt:lpstr>
      <vt:lpstr>WclassDom7</vt:lpstr>
      <vt:lpstr>WeedSourcePD</vt:lpstr>
      <vt:lpstr>Wells21</vt:lpstr>
      <vt:lpstr>Wet1a</vt:lpstr>
      <vt:lpstr>Wet1b</vt:lpstr>
      <vt:lpstr>WetArea</vt:lpstr>
      <vt:lpstr>WetClass</vt:lpstr>
      <vt:lpstr>WetDens1k</vt:lpstr>
      <vt:lpstr>WetDens1k_NoBog</vt:lpstr>
      <vt:lpstr>WetDens1k_NoVeg</vt:lpstr>
      <vt:lpstr>WetDens1k_OW</vt:lpstr>
      <vt:lpstr>WetMnArea1k_NoBog</vt:lpstr>
      <vt:lpstr>WetPctCA1</vt:lpstr>
      <vt:lpstr>WetPctCA2</vt:lpstr>
      <vt:lpstr>WetPctCA3</vt:lpstr>
      <vt:lpstr>WetPctHUC8</vt:lpstr>
      <vt:lpstr>WetPerim2Area</vt:lpstr>
      <vt:lpstr>Wettype11</vt:lpstr>
      <vt:lpstr>Wettype13</vt:lpstr>
      <vt:lpstr>Wettype14</vt:lpstr>
      <vt:lpstr>Wettype2</vt:lpstr>
      <vt:lpstr>Wettype3</vt:lpstr>
      <vt:lpstr>Wettype4</vt:lpstr>
      <vt:lpstr>Wettype6</vt:lpstr>
      <vt:lpstr>Wettype8</vt:lpstr>
      <vt:lpstr>WetVegArea</vt:lpstr>
      <vt:lpstr>WetVegPct</vt:lpstr>
      <vt:lpstr>WetWooded</vt:lpstr>
      <vt:lpstr>WidthAbs2</vt:lpstr>
      <vt:lpstr>WidthPD</vt:lpstr>
      <vt:lpstr>WindSumm</vt:lpstr>
      <vt:lpstr>wood2pd</vt:lpstr>
      <vt:lpstr>WoodAbove10</vt:lpstr>
      <vt:lpstr>WoodAbove11</vt:lpstr>
      <vt:lpstr>WoodDown11</vt:lpstr>
      <vt:lpstr>WoodDown14</vt:lpstr>
      <vt:lpstr>WoodDown8</vt:lpstr>
      <vt:lpstr>WoodPatt14</vt:lpstr>
      <vt:lpstr>WoodType6</vt:lpstr>
      <vt:lpstr>woody</vt:lpstr>
      <vt:lpstr>Woody13</vt:lpstr>
      <vt:lpstr>WoodyCovPD</vt:lpstr>
      <vt:lpstr>WoodyPct14</vt:lpstr>
      <vt:lpstr>WoodyPct4</vt:lpstr>
      <vt:lpstr>WoodyPct8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ABWRET-A Calculator - Boreal</dc:title>
  <dc:creator>Paul Adamus</dc:creator>
  <cp:lastModifiedBy>jennifer.lau</cp:lastModifiedBy>
  <cp:lastPrinted>2015-04-20T17:04:07Z</cp:lastPrinted>
  <dcterms:created xsi:type="dcterms:W3CDTF">2007-07-23T17:47:56Z</dcterms:created>
  <dcterms:modified xsi:type="dcterms:W3CDTF">2016-09-23T22:06:19Z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0x010100829422685C2AA8468DC3370C4843F2E4</vt:lpwstr>
  </property>
</Properties>
</file>